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48" windowWidth="9600" windowHeight="12072" tabRatio="722"/>
  </bookViews>
  <sheets>
    <sheet name="README" sheetId="20" r:id="rId1"/>
    <sheet name="model variables" sheetId="5" r:id="rId2"/>
    <sheet name="input variables" sheetId="13" r:id="rId3"/>
    <sheet name="bathymetry" sheetId="16" r:id="rId4"/>
    <sheet name="climate" sheetId="17" r:id="rId5"/>
    <sheet name="flows and management" sheetId="4" r:id="rId6"/>
    <sheet name="starting values" sheetId="8" r:id="rId7"/>
    <sheet name="model" sheetId="18" r:id="rId8"/>
    <sheet name="graph 1" sheetId="11" r:id="rId9"/>
    <sheet name="graph 2" sheetId="12" r:id="rId10"/>
    <sheet name="graph 3" sheetId="19" r:id="rId11"/>
  </sheets>
  <calcPr calcId="145621"/>
</workbook>
</file>

<file path=xl/calcChain.xml><?xml version="1.0" encoding="utf-8"?>
<calcChain xmlns="http://schemas.openxmlformats.org/spreadsheetml/2006/main">
  <c r="L4" i="18" l="1"/>
  <c r="M4" i="18"/>
  <c r="O4" i="18"/>
  <c r="R4" i="18"/>
  <c r="L5" i="18"/>
  <c r="M5" i="18"/>
  <c r="N5" i="18" s="1"/>
  <c r="O5" i="18"/>
  <c r="R5" i="18"/>
  <c r="L6" i="18"/>
  <c r="M6" i="18"/>
  <c r="O6" i="18"/>
  <c r="R6" i="18"/>
  <c r="L7" i="18"/>
  <c r="M7" i="18"/>
  <c r="O7" i="18"/>
  <c r="Q7" i="18"/>
  <c r="R7" i="18"/>
  <c r="L8" i="18"/>
  <c r="M8" i="18"/>
  <c r="O8" i="18"/>
  <c r="R8" i="18"/>
  <c r="L9" i="18"/>
  <c r="N9" i="18" s="1"/>
  <c r="M9" i="18"/>
  <c r="O9" i="18"/>
  <c r="R9" i="18"/>
  <c r="L10" i="18"/>
  <c r="M10" i="18"/>
  <c r="O10" i="18"/>
  <c r="R10" i="18"/>
  <c r="L11" i="18"/>
  <c r="M11" i="18"/>
  <c r="O11" i="18"/>
  <c r="R11" i="18"/>
  <c r="L12" i="18"/>
  <c r="M12" i="18"/>
  <c r="O12" i="18"/>
  <c r="R12" i="18"/>
  <c r="L13" i="18"/>
  <c r="M13" i="18"/>
  <c r="O13" i="18"/>
  <c r="R13" i="18"/>
  <c r="L14" i="18"/>
  <c r="M14" i="18"/>
  <c r="N14" i="18" s="1"/>
  <c r="O14" i="18"/>
  <c r="R14" i="18"/>
  <c r="L15" i="18"/>
  <c r="M15" i="18"/>
  <c r="O15" i="18"/>
  <c r="Q15" i="18"/>
  <c r="R15" i="18"/>
  <c r="L16" i="18"/>
  <c r="M16" i="18"/>
  <c r="O16" i="18"/>
  <c r="R16" i="18"/>
  <c r="L17" i="18"/>
  <c r="M17" i="18"/>
  <c r="N17" i="18" s="1"/>
  <c r="O17" i="18"/>
  <c r="R17" i="18"/>
  <c r="L18" i="18"/>
  <c r="M18" i="18"/>
  <c r="N18" i="18" s="1"/>
  <c r="O18" i="18"/>
  <c r="R18" i="18"/>
  <c r="L19" i="18"/>
  <c r="M19" i="18"/>
  <c r="O19" i="18"/>
  <c r="R19" i="18"/>
  <c r="L20" i="18"/>
  <c r="M20" i="18"/>
  <c r="O20" i="18"/>
  <c r="R20" i="18"/>
  <c r="L21" i="18"/>
  <c r="M21" i="18"/>
  <c r="N21" i="18" s="1"/>
  <c r="O21" i="18"/>
  <c r="R21" i="18"/>
  <c r="L22" i="18"/>
  <c r="M22" i="18"/>
  <c r="O22" i="18"/>
  <c r="R22" i="18"/>
  <c r="L23" i="18"/>
  <c r="M23" i="18"/>
  <c r="O23" i="18"/>
  <c r="Q23" i="18"/>
  <c r="R23" i="18"/>
  <c r="L24" i="18"/>
  <c r="M24" i="18"/>
  <c r="O24" i="18"/>
  <c r="R24" i="18"/>
  <c r="L25" i="18"/>
  <c r="M25" i="18"/>
  <c r="N25" i="18" s="1"/>
  <c r="O25" i="18"/>
  <c r="R25" i="18"/>
  <c r="L26" i="18"/>
  <c r="M26" i="18"/>
  <c r="N26" i="18" s="1"/>
  <c r="O26" i="18"/>
  <c r="R26" i="18"/>
  <c r="L27" i="18"/>
  <c r="M27" i="18"/>
  <c r="O27" i="18"/>
  <c r="R27" i="18"/>
  <c r="L28" i="18"/>
  <c r="M28" i="18"/>
  <c r="O28" i="18"/>
  <c r="Q28" i="18"/>
  <c r="R28" i="18"/>
  <c r="L29" i="18"/>
  <c r="M29" i="18"/>
  <c r="N29" i="18" s="1"/>
  <c r="O29" i="18"/>
  <c r="R29" i="18"/>
  <c r="L30" i="18"/>
  <c r="M30" i="18"/>
  <c r="O30" i="18"/>
  <c r="R30" i="18"/>
  <c r="L31" i="18"/>
  <c r="M31" i="18"/>
  <c r="N31" i="18" s="1"/>
  <c r="O31" i="18"/>
  <c r="Q31" i="18"/>
  <c r="R31" i="18"/>
  <c r="L32" i="18"/>
  <c r="M32" i="18"/>
  <c r="N32" i="18"/>
  <c r="O32" i="18"/>
  <c r="R32" i="18"/>
  <c r="O3" i="18"/>
  <c r="O2" i="18"/>
  <c r="R3" i="18"/>
  <c r="M3" i="18"/>
  <c r="L3" i="18"/>
  <c r="R2" i="18"/>
  <c r="M2" i="18"/>
  <c r="L2" i="18"/>
  <c r="H2" i="18"/>
  <c r="J2" i="18" s="1"/>
  <c r="B2" i="18"/>
  <c r="E32" i="17"/>
  <c r="F32" i="17" s="1"/>
  <c r="Q32" i="18" s="1"/>
  <c r="E31" i="17"/>
  <c r="F31" i="17" s="1"/>
  <c r="E30" i="17"/>
  <c r="F30" i="17" s="1"/>
  <c r="Q30" i="18" s="1"/>
  <c r="E29" i="17"/>
  <c r="F29" i="17" s="1"/>
  <c r="Q29" i="18" s="1"/>
  <c r="F28" i="17"/>
  <c r="E28" i="17"/>
  <c r="E27" i="17"/>
  <c r="F27" i="17" s="1"/>
  <c r="Q27" i="18" s="1"/>
  <c r="F26" i="17"/>
  <c r="Q26" i="18" s="1"/>
  <c r="E26" i="17"/>
  <c r="E25" i="17"/>
  <c r="F25" i="17" s="1"/>
  <c r="Q25" i="18" s="1"/>
  <c r="E24" i="17"/>
  <c r="F24" i="17" s="1"/>
  <c r="Q24" i="18" s="1"/>
  <c r="E23" i="17"/>
  <c r="F23" i="17" s="1"/>
  <c r="E22" i="17"/>
  <c r="F22" i="17" s="1"/>
  <c r="Q22" i="18" s="1"/>
  <c r="E21" i="17"/>
  <c r="F21" i="17" s="1"/>
  <c r="Q21" i="18" s="1"/>
  <c r="F20" i="17"/>
  <c r="Q20" i="18" s="1"/>
  <c r="E20" i="17"/>
  <c r="E19" i="17"/>
  <c r="F19" i="17" s="1"/>
  <c r="Q19" i="18" s="1"/>
  <c r="F18" i="17"/>
  <c r="Q18" i="18" s="1"/>
  <c r="E18" i="17"/>
  <c r="E17" i="17"/>
  <c r="F17" i="17" s="1"/>
  <c r="Q17" i="18" s="1"/>
  <c r="E16" i="17"/>
  <c r="F16" i="17" s="1"/>
  <c r="Q16" i="18" s="1"/>
  <c r="E15" i="17"/>
  <c r="F15" i="17" s="1"/>
  <c r="E14" i="17"/>
  <c r="F14" i="17" s="1"/>
  <c r="Q14" i="18" s="1"/>
  <c r="E13" i="17"/>
  <c r="F13" i="17" s="1"/>
  <c r="Q13" i="18" s="1"/>
  <c r="F12" i="17"/>
  <c r="Q12" i="18" s="1"/>
  <c r="E12" i="17"/>
  <c r="E11" i="17"/>
  <c r="F11" i="17" s="1"/>
  <c r="Q11" i="18" s="1"/>
  <c r="F10" i="17"/>
  <c r="Q10" i="18" s="1"/>
  <c r="E10" i="17"/>
  <c r="E9" i="17"/>
  <c r="F9" i="17" s="1"/>
  <c r="Q9" i="18" s="1"/>
  <c r="E8" i="17"/>
  <c r="F8" i="17" s="1"/>
  <c r="Q8" i="18" s="1"/>
  <c r="E7" i="17"/>
  <c r="F7" i="17" s="1"/>
  <c r="E6" i="17"/>
  <c r="F6" i="17" s="1"/>
  <c r="Q6" i="18" s="1"/>
  <c r="E5" i="17"/>
  <c r="F5" i="17" s="1"/>
  <c r="Q5" i="18" s="1"/>
  <c r="F4" i="17"/>
  <c r="Q4" i="18" s="1"/>
  <c r="E4" i="17"/>
  <c r="E3" i="17"/>
  <c r="F3" i="17" s="1"/>
  <c r="Q3" i="18" s="1"/>
  <c r="F2" i="17"/>
  <c r="Q2" i="18" s="1"/>
  <c r="E2" i="17"/>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2" i="4"/>
  <c r="K12" i="16"/>
  <c r="E12" i="16"/>
  <c r="K11" i="16"/>
  <c r="E11" i="16"/>
  <c r="K10" i="16"/>
  <c r="E10" i="16"/>
  <c r="K9" i="16"/>
  <c r="E9" i="16"/>
  <c r="K8" i="16"/>
  <c r="E8" i="16"/>
  <c r="K7" i="16"/>
  <c r="E7" i="16"/>
  <c r="K6" i="16"/>
  <c r="E6" i="16"/>
  <c r="K5" i="16"/>
  <c r="E5" i="16"/>
  <c r="K4" i="16"/>
  <c r="E4" i="16"/>
  <c r="K3" i="16"/>
  <c r="E3" i="16"/>
  <c r="K2" i="16"/>
  <c r="E2" i="16"/>
  <c r="N22" i="18" l="1"/>
  <c r="N28" i="18"/>
  <c r="N13" i="18"/>
  <c r="N10" i="18"/>
  <c r="N6" i="18"/>
  <c r="N3" i="18"/>
  <c r="C2" i="18"/>
  <c r="D2" i="18"/>
  <c r="E2" i="18"/>
  <c r="K2" i="18" s="1"/>
  <c r="N30" i="18"/>
  <c r="N27" i="18"/>
  <c r="N24" i="18"/>
  <c r="N23" i="18"/>
  <c r="N20" i="18"/>
  <c r="N19" i="18"/>
  <c r="N16" i="18"/>
  <c r="N15" i="18"/>
  <c r="N12" i="18"/>
  <c r="N11" i="18"/>
  <c r="N8" i="18"/>
  <c r="N7" i="18"/>
  <c r="N4" i="18"/>
  <c r="N2" i="18"/>
  <c r="S2" i="18" l="1"/>
  <c r="T2" i="18" s="1"/>
  <c r="I2" i="18"/>
  <c r="K3" i="18"/>
  <c r="P2" i="18"/>
  <c r="P3" i="18"/>
  <c r="J3" i="18" l="1"/>
  <c r="S3" i="18" l="1"/>
  <c r="T3" i="18" s="1"/>
  <c r="I3" i="18"/>
  <c r="C3" i="18" l="1"/>
  <c r="H3" i="18"/>
  <c r="E3" i="18"/>
  <c r="D3" i="18"/>
  <c r="B3" i="8"/>
  <c r="F2" i="18" s="1"/>
  <c r="G2" i="18" s="1"/>
  <c r="G3" i="18" s="1"/>
  <c r="F3" i="18" s="1"/>
  <c r="B3" i="18" s="1"/>
  <c r="P4" i="18" l="1"/>
  <c r="K4" i="18"/>
  <c r="J4" i="18" s="1"/>
  <c r="S4" i="18" l="1"/>
  <c r="T4" i="18" s="1"/>
  <c r="G4" i="18" s="1"/>
  <c r="I4" i="18"/>
  <c r="F4" i="18" l="1"/>
  <c r="B4" i="18" s="1"/>
  <c r="D4" i="18"/>
  <c r="E4" i="18"/>
  <c r="H4" i="18"/>
  <c r="C4" i="18"/>
  <c r="K5" i="18" l="1"/>
  <c r="P5" i="18"/>
  <c r="J5" i="18" l="1"/>
  <c r="S5" i="18" l="1"/>
  <c r="T5" i="18" s="1"/>
  <c r="G5" i="18" s="1"/>
  <c r="I5" i="18"/>
  <c r="F5" i="18" l="1"/>
  <c r="B5" i="18" s="1"/>
  <c r="D5" i="18"/>
  <c r="E5" i="18"/>
  <c r="C5" i="18"/>
  <c r="H5" i="18"/>
  <c r="P6" i="18" l="1"/>
  <c r="K6" i="18"/>
  <c r="J6" i="18" s="1"/>
  <c r="I6" i="18" l="1"/>
  <c r="S6" i="18"/>
  <c r="T6" i="18" s="1"/>
  <c r="G6" i="18" s="1"/>
  <c r="F6" i="18" s="1"/>
  <c r="B6" i="18" s="1"/>
  <c r="H6" i="18" l="1"/>
  <c r="E6" i="18"/>
  <c r="C6" i="18"/>
  <c r="D6" i="18"/>
  <c r="P7" i="18" l="1"/>
  <c r="K7" i="18"/>
  <c r="J7" i="18" s="1"/>
  <c r="I7" i="18" l="1"/>
  <c r="S7" i="18"/>
  <c r="T7" i="18" s="1"/>
  <c r="G7" i="18" s="1"/>
  <c r="F7" i="18" s="1"/>
  <c r="B7" i="18" s="1"/>
  <c r="D7" i="18" l="1"/>
  <c r="C7" i="18"/>
  <c r="H7" i="18"/>
  <c r="E7" i="18"/>
  <c r="K8" i="18" l="1"/>
  <c r="P8" i="18"/>
  <c r="J8" i="18" l="1"/>
  <c r="I8" i="18" s="1"/>
  <c r="S8" i="18"/>
  <c r="T8" i="18" s="1"/>
  <c r="G8" i="18" s="1"/>
  <c r="F8" i="18" l="1"/>
  <c r="B8" i="18" s="1"/>
  <c r="E8" i="18"/>
  <c r="H8" i="18"/>
  <c r="C8" i="18"/>
  <c r="D8" i="18"/>
  <c r="K9" i="18" l="1"/>
  <c r="P9" i="18"/>
  <c r="J9" i="18" l="1"/>
  <c r="S9" i="18" l="1"/>
  <c r="T9" i="18" s="1"/>
  <c r="G9" i="18" s="1"/>
  <c r="I9" i="18"/>
  <c r="F9" i="18" l="1"/>
  <c r="B9" i="18" s="1"/>
  <c r="E9" i="18"/>
  <c r="C9" i="18"/>
  <c r="D9" i="18"/>
  <c r="H9" i="18"/>
  <c r="P10" i="18" l="1"/>
  <c r="K10" i="18"/>
  <c r="J10" i="18" l="1"/>
  <c r="I10" i="18" l="1"/>
  <c r="S10" i="18"/>
  <c r="T10" i="18" s="1"/>
  <c r="G10" i="18" s="1"/>
  <c r="F10" i="18" l="1"/>
  <c r="B10" i="18" s="1"/>
  <c r="H10" i="18"/>
  <c r="E10" i="18"/>
  <c r="C10" i="18"/>
  <c r="D10" i="18"/>
  <c r="P11" i="18" l="1"/>
  <c r="K11" i="18"/>
  <c r="J11" i="18" l="1"/>
  <c r="I11" i="18" l="1"/>
  <c r="S11" i="18"/>
  <c r="T11" i="18" s="1"/>
  <c r="G11" i="18" s="1"/>
  <c r="F11" i="18" l="1"/>
  <c r="B11" i="18" s="1"/>
  <c r="C11" i="18"/>
  <c r="E11" i="18"/>
  <c r="D11" i="18"/>
  <c r="H11" i="18"/>
  <c r="K12" i="18" l="1"/>
  <c r="P12" i="18"/>
  <c r="J12" i="18" l="1"/>
  <c r="S12" i="18" l="1"/>
  <c r="T12" i="18" s="1"/>
  <c r="G12" i="18" s="1"/>
  <c r="I12" i="18"/>
  <c r="F12" i="18" l="1"/>
  <c r="B12" i="18" s="1"/>
  <c r="H12" i="18"/>
  <c r="C12" i="18"/>
  <c r="D12" i="18"/>
  <c r="E12" i="18"/>
  <c r="K13" i="18" l="1"/>
  <c r="P13" i="18"/>
  <c r="J13" i="18" l="1"/>
  <c r="I13" i="18" s="1"/>
  <c r="S13" i="18"/>
  <c r="T13" i="18" s="1"/>
  <c r="G13" i="18" s="1"/>
  <c r="F13" i="18" l="1"/>
  <c r="B13" i="18" s="1"/>
  <c r="C13" i="18"/>
  <c r="D13" i="18"/>
  <c r="H13" i="18"/>
  <c r="E13" i="18"/>
  <c r="P14" i="18" l="1"/>
  <c r="K14" i="18"/>
  <c r="J14" i="18" l="1"/>
  <c r="I14" i="18" l="1"/>
  <c r="S14" i="18"/>
  <c r="T14" i="18" s="1"/>
  <c r="G14" i="18" s="1"/>
  <c r="F14" i="18" l="1"/>
  <c r="B14" i="18" s="1"/>
  <c r="E14" i="18"/>
  <c r="C14" i="18"/>
  <c r="D14" i="18"/>
  <c r="H14" i="18"/>
  <c r="K15" i="18" l="1"/>
  <c r="P15" i="18"/>
  <c r="J15" i="18" l="1"/>
  <c r="I15" i="18" l="1"/>
  <c r="S15" i="18"/>
  <c r="T15" i="18" s="1"/>
  <c r="G15" i="18" s="1"/>
  <c r="F15" i="18" l="1"/>
  <c r="B15" i="18" s="1"/>
  <c r="E15" i="18"/>
  <c r="D15" i="18"/>
  <c r="H15" i="18"/>
  <c r="C15" i="18"/>
  <c r="P16" i="18" l="1"/>
  <c r="K16" i="18"/>
  <c r="J16" i="18" l="1"/>
  <c r="I16" i="18" s="1"/>
  <c r="S16" i="18"/>
  <c r="T16" i="18" s="1"/>
  <c r="G16" i="18" s="1"/>
  <c r="F16" i="18" l="1"/>
  <c r="B16" i="18" s="1"/>
  <c r="H16" i="18"/>
  <c r="C16" i="18"/>
  <c r="D16" i="18"/>
  <c r="E16" i="18"/>
  <c r="K17" i="18" l="1"/>
  <c r="P17" i="18"/>
  <c r="J17" i="18" l="1"/>
  <c r="S17" i="18" s="1"/>
  <c r="T17" i="18" s="1"/>
  <c r="G17" i="18" s="1"/>
  <c r="I17" i="18" l="1"/>
  <c r="F17" i="18" s="1"/>
  <c r="B17" i="18" s="1"/>
  <c r="H17" i="18" l="1"/>
  <c r="D17" i="18"/>
  <c r="C17" i="18"/>
  <c r="E17" i="18"/>
  <c r="P18" i="18" s="1"/>
  <c r="K18" i="18" l="1"/>
  <c r="J18" i="18" s="1"/>
  <c r="S18" i="18" s="1"/>
  <c r="T18" i="18" s="1"/>
  <c r="G18" i="18" s="1"/>
  <c r="I18" i="18"/>
  <c r="F18" i="18" l="1"/>
  <c r="B18" i="18" s="1"/>
  <c r="D18" i="18"/>
  <c r="H18" i="18"/>
  <c r="E18" i="18"/>
  <c r="C18" i="18"/>
  <c r="P19" i="18" l="1"/>
  <c r="K19" i="18"/>
  <c r="J19" i="18" l="1"/>
  <c r="I19" i="18" l="1"/>
  <c r="S19" i="18"/>
  <c r="T19" i="18" s="1"/>
  <c r="G19" i="18" s="1"/>
  <c r="F19" i="18" l="1"/>
  <c r="B19" i="18" s="1"/>
  <c r="H19" i="18"/>
  <c r="C19" i="18"/>
  <c r="E19" i="18"/>
  <c r="D19" i="18"/>
  <c r="P20" i="18" l="1"/>
  <c r="K20" i="18"/>
  <c r="J20" i="18" l="1"/>
  <c r="S20" i="18" l="1"/>
  <c r="T20" i="18" s="1"/>
  <c r="G20" i="18" s="1"/>
  <c r="I20" i="18"/>
  <c r="F20" i="18" l="1"/>
  <c r="B20" i="18" s="1"/>
  <c r="E20" i="18"/>
  <c r="H20" i="18"/>
  <c r="C20" i="18"/>
  <c r="D20" i="18"/>
  <c r="P21" i="18" l="1"/>
  <c r="K21" i="18"/>
  <c r="J21" i="18" l="1"/>
  <c r="I21" i="18" s="1"/>
  <c r="S21" i="18"/>
  <c r="T21" i="18" s="1"/>
  <c r="G21" i="18" s="1"/>
  <c r="F21" i="18" l="1"/>
  <c r="B21" i="18" s="1"/>
  <c r="C21" i="18"/>
  <c r="D21" i="18"/>
  <c r="H21" i="18"/>
  <c r="E21" i="18"/>
  <c r="P22" i="18" l="1"/>
  <c r="K22" i="18"/>
  <c r="J22" i="18" l="1"/>
  <c r="S22" i="18" l="1"/>
  <c r="T22" i="18" s="1"/>
  <c r="G22" i="18" s="1"/>
  <c r="I22" i="18"/>
  <c r="F22" i="18" l="1"/>
  <c r="B22" i="18" s="1"/>
  <c r="E22" i="18"/>
  <c r="C22" i="18"/>
  <c r="D22" i="18"/>
  <c r="H22" i="18"/>
  <c r="K23" i="18" l="1"/>
  <c r="P23" i="18"/>
  <c r="J23" i="18" l="1"/>
  <c r="S23" i="18" s="1"/>
  <c r="T23" i="18" s="1"/>
  <c r="G23" i="18" s="1"/>
  <c r="I23" i="18"/>
  <c r="F23" i="18" l="1"/>
  <c r="B23" i="18" s="1"/>
  <c r="C23" i="18"/>
  <c r="E23" i="18"/>
  <c r="D23" i="18"/>
  <c r="H23" i="18"/>
  <c r="P24" i="18" l="1"/>
  <c r="K24" i="18"/>
  <c r="J24" i="18" l="1"/>
  <c r="S24" i="18" l="1"/>
  <c r="T24" i="18" s="1"/>
  <c r="G24" i="18" s="1"/>
  <c r="I24" i="18"/>
  <c r="F24" i="18" l="1"/>
  <c r="B24" i="18" s="1"/>
  <c r="D24" i="18"/>
  <c r="H24" i="18"/>
  <c r="C24" i="18"/>
  <c r="E24" i="18"/>
  <c r="P25" i="18" l="1"/>
  <c r="K25" i="18"/>
  <c r="J25" i="18" l="1"/>
  <c r="S25" i="18" l="1"/>
  <c r="T25" i="18" s="1"/>
  <c r="G25" i="18" s="1"/>
  <c r="I25" i="18"/>
  <c r="F25" i="18" l="1"/>
  <c r="B25" i="18" s="1"/>
  <c r="D25" i="18"/>
  <c r="E25" i="18"/>
  <c r="C25" i="18"/>
  <c r="H25" i="18"/>
  <c r="K26" i="18" l="1"/>
  <c r="P26" i="18"/>
  <c r="J26" i="18" l="1"/>
  <c r="I26" i="18" l="1"/>
  <c r="S26" i="18"/>
  <c r="T26" i="18" s="1"/>
  <c r="G26" i="18" s="1"/>
  <c r="F26" i="18" l="1"/>
  <c r="B26" i="18" s="1"/>
  <c r="E26" i="18"/>
  <c r="C26" i="18"/>
  <c r="D26" i="18"/>
  <c r="H26" i="18"/>
  <c r="P27" i="18" l="1"/>
  <c r="K27" i="18"/>
  <c r="J27" i="18" s="1"/>
  <c r="I27" i="18" l="1"/>
  <c r="S27" i="18"/>
  <c r="T27" i="18" s="1"/>
  <c r="G27" i="18" s="1"/>
  <c r="F27" i="18" l="1"/>
  <c r="B27" i="18" s="1"/>
  <c r="H27" i="18"/>
  <c r="C27" i="18"/>
  <c r="E27" i="18"/>
  <c r="D27" i="18"/>
  <c r="P28" i="18" l="1"/>
  <c r="K28" i="18"/>
  <c r="J28" i="18" l="1"/>
  <c r="I28" i="18" l="1"/>
  <c r="S28" i="18"/>
  <c r="T28" i="18" s="1"/>
  <c r="G28" i="18" s="1"/>
  <c r="F28" i="18" s="1"/>
  <c r="B28" i="18" s="1"/>
  <c r="E28" i="18" l="1"/>
  <c r="H28" i="18"/>
  <c r="C28" i="18"/>
  <c r="D28" i="18"/>
  <c r="P29" i="18" l="1"/>
  <c r="K29" i="18"/>
  <c r="J29" i="18" l="1"/>
  <c r="I29" i="18" l="1"/>
  <c r="S29" i="18"/>
  <c r="T29" i="18" s="1"/>
  <c r="G29" i="18" s="1"/>
  <c r="F29" i="18" l="1"/>
  <c r="B29" i="18" s="1"/>
  <c r="C29" i="18"/>
  <c r="D29" i="18"/>
  <c r="H29" i="18"/>
  <c r="E29" i="18"/>
  <c r="P30" i="18" l="1"/>
  <c r="K30" i="18"/>
  <c r="J30" i="18" s="1"/>
  <c r="I30" i="18" l="1"/>
  <c r="S30" i="18"/>
  <c r="T30" i="18" s="1"/>
  <c r="G30" i="18" s="1"/>
  <c r="F30" i="18" l="1"/>
  <c r="B30" i="18" s="1"/>
  <c r="D30" i="18"/>
  <c r="H30" i="18"/>
  <c r="E30" i="18"/>
  <c r="C30" i="18"/>
  <c r="P31" i="18" l="1"/>
  <c r="K31" i="18"/>
  <c r="J31" i="18" l="1"/>
  <c r="I31" i="18" l="1"/>
  <c r="S31" i="18"/>
  <c r="T31" i="18" s="1"/>
  <c r="G31" i="18" s="1"/>
  <c r="F31" i="18" l="1"/>
  <c r="B31" i="18" s="1"/>
  <c r="D31" i="18"/>
  <c r="E31" i="18"/>
  <c r="H31" i="18"/>
  <c r="C31" i="18"/>
  <c r="K32" i="18" l="1"/>
  <c r="P32" i="18"/>
  <c r="J32" i="18" l="1"/>
  <c r="I32" i="18" l="1"/>
  <c r="S32" i="18"/>
  <c r="T32" i="18" s="1"/>
  <c r="G32" i="18" s="1"/>
  <c r="F32" i="18" s="1"/>
  <c r="B32" i="18" s="1"/>
  <c r="C32" i="18" l="1"/>
  <c r="E32" i="18"/>
  <c r="D32" i="18"/>
  <c r="H32" i="18"/>
</calcChain>
</file>

<file path=xl/sharedStrings.xml><?xml version="1.0" encoding="utf-8"?>
<sst xmlns="http://schemas.openxmlformats.org/spreadsheetml/2006/main" count="169" uniqueCount="97">
  <si>
    <t>Date</t>
  </si>
  <si>
    <t>Starting value</t>
  </si>
  <si>
    <t>Sheet</t>
  </si>
  <si>
    <t>Variable</t>
  </si>
  <si>
    <t>climate</t>
  </si>
  <si>
    <t>**The columns in the model worksheet are color-coded based on the following general criteria:</t>
  </si>
  <si>
    <t>calculated value</t>
  </si>
  <si>
    <t>measured / estimated value</t>
  </si>
  <si>
    <t>Units</t>
  </si>
  <si>
    <t>feet</t>
  </si>
  <si>
    <t>acres</t>
  </si>
  <si>
    <t>acre-feet</t>
  </si>
  <si>
    <t>milligrams/liter</t>
  </si>
  <si>
    <t>milligrams</t>
  </si>
  <si>
    <t>inches</t>
  </si>
  <si>
    <t>values determined using lookup function</t>
  </si>
  <si>
    <t>Model variable</t>
  </si>
  <si>
    <t>Variable definition / determination</t>
  </si>
  <si>
    <t>--</t>
  </si>
  <si>
    <t>month/day/year</t>
  </si>
  <si>
    <r>
      <t>*values marked by an asterisk (</t>
    </r>
    <r>
      <rPr>
        <b/>
        <sz val="12"/>
        <color rgb="FFFF0000"/>
        <rFont val="Calibri"/>
        <family val="2"/>
        <scheme val="minor"/>
      </rPr>
      <t>*</t>
    </r>
    <r>
      <rPr>
        <b/>
        <sz val="12"/>
        <rFont val="Calibri"/>
        <family val="2"/>
        <scheme val="minor"/>
      </rPr>
      <t>) require field data for the initial value and are specified/calculated in the 'starting values' tab</t>
    </r>
  </si>
  <si>
    <t>estimated daily evaporation based on Jensen-Haise model</t>
  </si>
  <si>
    <t>estimated daily evaporation; if estimated value is less than zero evaporation is set as zero</t>
  </si>
  <si>
    <t>Elevation</t>
  </si>
  <si>
    <t>Volume</t>
  </si>
  <si>
    <t>Surface area</t>
  </si>
  <si>
    <t>Mean depth</t>
  </si>
  <si>
    <t>Exposed lakebed</t>
  </si>
  <si>
    <t>Precipitation</t>
  </si>
  <si>
    <t>Air temperature</t>
  </si>
  <si>
    <t>Solar radiation</t>
  </si>
  <si>
    <t>Jensen-Haise</t>
  </si>
  <si>
    <t>Evaporation</t>
  </si>
  <si>
    <t>Inflow volume</t>
  </si>
  <si>
    <t>Inflow specific conductance</t>
  </si>
  <si>
    <t>Outflow volume</t>
  </si>
  <si>
    <t>WCS elevation</t>
  </si>
  <si>
    <t>WCS volume</t>
  </si>
  <si>
    <t>Specific conductance</t>
  </si>
  <si>
    <t>Depth</t>
  </si>
  <si>
    <t>Transition area</t>
  </si>
  <si>
    <t>TDS</t>
  </si>
  <si>
    <t>Pool elevation</t>
  </si>
  <si>
    <t>Final volume</t>
  </si>
  <si>
    <t>Modeled volume</t>
  </si>
  <si>
    <t>Water input volume</t>
  </si>
  <si>
    <t>Inflow salt mass</t>
  </si>
  <si>
    <t>Evapotranspiration</t>
  </si>
  <si>
    <t>WCS outflow</t>
  </si>
  <si>
    <t>Outflow salt mass</t>
  </si>
  <si>
    <t>Salt mass</t>
  </si>
  <si>
    <t>Water loss volume</t>
  </si>
  <si>
    <t>TDS:</t>
  </si>
  <si>
    <t>Elevation:</t>
  </si>
  <si>
    <t>Specific conductance:</t>
  </si>
  <si>
    <t>pool elevation of impoundment / initial value from field measurement or estimate; thereafter, value determined using lookup function (bathymetry worksheet) based on ‘final volume’ and ‘date’</t>
  </si>
  <si>
    <t>mean depth of impoundment / initial value determined using lookup function (bathymetry worksheet) based on ‘elevation’; thereafter, based on ‘final volume’ and ‘date’</t>
  </si>
  <si>
    <t>inundated surface area of impoundment / initial value determined using lookup function (bathymetry worksheet) based on ‘elevation’; thereafter, based on ‘final volume’ and ‘date’</t>
  </si>
  <si>
    <t>noninundated surface area of impoundment (based on maximum area) / initial value determined using lookup function (bathymetry worksheet) based on ‘elevation’; thereafter, based on ‘final volume’ and ‘date’</t>
  </si>
  <si>
    <t>calculated volume of impoundment based on total water inputs and losses / initial value determined using lookup function (bathymetry worksheet) based on ‘elevation’; thereafter, calculated by adding ‘water input volume’ and subtracting ‘water losses’ from previous day’s ‘final volume’</t>
  </si>
  <si>
    <t>calculated volume of impoundment for daily time step; this variable "limits" the ‘modeled volume’ based on ‘WCS volume’, if ‘modeled volume’ is greater than ‘WCS volume’ the difference is considered outflow / value determine by subtracting ‘WCS volume’ from ‘modeled volume’</t>
  </si>
  <si>
    <r>
      <t>Pool elevation</t>
    </r>
    <r>
      <rPr>
        <b/>
        <sz val="12"/>
        <color rgb="FFFF0000"/>
        <rFont val="Calibri"/>
        <family val="2"/>
        <scheme val="minor"/>
      </rPr>
      <t>*</t>
    </r>
  </si>
  <si>
    <r>
      <t>TDS</t>
    </r>
    <r>
      <rPr>
        <b/>
        <sz val="12"/>
        <color rgb="FFFF0000"/>
        <rFont val="Calibri"/>
        <family val="2"/>
        <scheme val="minor"/>
      </rPr>
      <t>*</t>
    </r>
  </si>
  <si>
    <t>total mass of salt dissolved in impoundment water / initial value calculated by multiplying ‘TDS’ by ‘modeled volume’; thereafter,  mass is adjusted by adding ‘inflow salt mass’ and subtracting ‘outflow salt mass’</t>
  </si>
  <si>
    <t>measured precipitation / value determined using lookup function (climate worksheet) based on ‘date’</t>
  </si>
  <si>
    <t>managed (measured or estimated) inflow to impoundment  / value determined using lookup function (flows and management worksheet) based on ‘date’</t>
  </si>
  <si>
    <t>specific conductance (measured or estimated) of ‘inflow volume’ / value determined using lookup function (flows and management worksheet) based on ‘date’</t>
  </si>
  <si>
    <t>total daily water inputs to impoundment / calculated by adding ‘inflow volume’ and ‘precipitation’ (‘precipitation’ is multiplied by ‘surface area’)</t>
  </si>
  <si>
    <t>estimated evapotranspiration from impoundment / value determined using lookup function (climate worksheet) based on ‘date’; WSB model calculates evapotranspiration using the Jensen-Haise evaporation model, which requires air temperature and solar radiation</t>
  </si>
  <si>
    <t>managed (gaged or estimated) outflow from impoundment / value determined using lookup function (flows and management worksheet) based on ‘date’</t>
  </si>
  <si>
    <t>total daily (gaged and estimated) water losses from impoundment / calculated by adding ‘outflow volume’ and ‘evapotranspiration’ (‘evapotranspiration’ is multiplied by ‘surface area’)</t>
  </si>
  <si>
    <t>volume of outflow based on water-control structure and pool elevations / calculated by subtracting ‘WCS volume’ from ‘modeled volume’; this variable is used only to calculate mass of salts lost to ‘uncontrolled’ outflow</t>
  </si>
  <si>
    <r>
      <t>Specific conductance</t>
    </r>
    <r>
      <rPr>
        <b/>
        <sz val="12"/>
        <color rgb="FFFF0000"/>
        <rFont val="Calibri"/>
        <family val="2"/>
        <scheme val="minor"/>
      </rPr>
      <t>*</t>
    </r>
  </si>
  <si>
    <t>total daily precipitation</t>
  </si>
  <si>
    <t>degrees Fahrenheit</t>
  </si>
  <si>
    <t>mean daily air temperature</t>
  </si>
  <si>
    <t>calories/square centimeter·day</t>
  </si>
  <si>
    <t>mean daily solar radiation</t>
  </si>
  <si>
    <t>surface inflow (gaged or estimated) to impoundment</t>
  </si>
  <si>
    <t>measured or estimated specific conductance of ‘inflow volume’; note: if there are inflows from more than one source with differing conductivities the model will have to be adjusted</t>
  </si>
  <si>
    <t>measured or estimated surface outflow from impoundment</t>
  </si>
  <si>
    <t>water-control structure elevation</t>
  </si>
  <si>
    <t>impoundment volume based on ‘WCS elevation’</t>
  </si>
  <si>
    <t>surface (pool) elevation of impoundment</t>
  </si>
  <si>
    <t>volume of impoundment</t>
  </si>
  <si>
    <t>surface area of impoundment</t>
  </si>
  <si>
    <t>mean depth of impoundment</t>
  </si>
  <si>
    <t>surface area of exposed lakebed (for example, mudflats)</t>
  </si>
  <si>
    <t>bathymetry</t>
  </si>
  <si>
    <t>flows and management</t>
  </si>
  <si>
    <r>
      <t>specific conductance of impoundment water / initial value from field measurement or estimate; thereafter, calculated by converting ‘TDS’  using statistical relation (for example., fig. 2 [WSB model uses the following equation: 3.16TDS</t>
    </r>
    <r>
      <rPr>
        <vertAlign val="superscript"/>
        <sz val="12"/>
        <color theme="1"/>
        <rFont val="Calibri"/>
        <family val="2"/>
        <scheme val="minor"/>
      </rPr>
      <t>0.898</t>
    </r>
    <r>
      <rPr>
        <sz val="12"/>
        <color theme="1"/>
        <rFont val="Calibri"/>
        <family val="2"/>
        <scheme val="minor"/>
      </rPr>
      <t>])</t>
    </r>
  </si>
  <si>
    <r>
      <t>total dissolved solids of impoundment water / initial value calculated by converting ‘specific conductance’ using statistical relation (for example,, fig. 2 [WSB model uses the following equation: 0.319specific conductance</t>
    </r>
    <r>
      <rPr>
        <vertAlign val="superscript"/>
        <sz val="12"/>
        <color theme="1"/>
        <rFont val="Calibri"/>
        <family val="2"/>
        <scheme val="minor"/>
      </rPr>
      <t>1.1</t>
    </r>
    <r>
      <rPr>
        <sz val="12"/>
        <color theme="1"/>
        <rFont val="Calibri"/>
        <family val="2"/>
        <scheme val="minor"/>
      </rPr>
      <t>]); thereafter, calculated by dividing ‘salt mass’ by ‘final volume’</t>
    </r>
  </si>
  <si>
    <r>
      <t>total mass of salt dissolved in ‘inflow volume’ / calculated by converting ‘specific conductance’  to ‘TDS’ using statistical relation (for example, fig. 2 [WSB model uses the following equation: 0.319specific conductance</t>
    </r>
    <r>
      <rPr>
        <vertAlign val="superscript"/>
        <sz val="12"/>
        <color theme="1"/>
        <rFont val="Calibri"/>
        <family val="2"/>
        <scheme val="minor"/>
      </rPr>
      <t>1.1</t>
    </r>
    <r>
      <rPr>
        <sz val="12"/>
        <color theme="1"/>
        <rFont val="Calibri"/>
        <family val="2"/>
        <scheme val="minor"/>
      </rPr>
      <t>]); ‘TDS’ is multiplied by ‘inflow volume’</t>
    </r>
  </si>
  <si>
    <r>
      <t>total mass of salt in ‘outflow volume’ / calculated by converting ‘specific conductance’  to ‘TDS’ using statistical relation (for example, fig. 2 [WSB model uses the following equation: 0.319specific conductance</t>
    </r>
    <r>
      <rPr>
        <vertAlign val="superscript"/>
        <sz val="12"/>
        <color theme="1"/>
        <rFont val="Calibri"/>
        <family val="2"/>
        <scheme val="minor"/>
      </rPr>
      <t>1.1</t>
    </r>
    <r>
      <rPr>
        <sz val="12"/>
        <color theme="1"/>
        <rFont val="Calibri"/>
        <family val="2"/>
        <scheme val="minor"/>
      </rPr>
      <t>]); ‘TDS’ is multiplied by ‘outflow volume’ and ‘WCS outflow’</t>
    </r>
  </si>
  <si>
    <t>feet (NAVD 88)</t>
  </si>
  <si>
    <t>microsiemens/centimeter at 25 degrees Celsius</t>
  </si>
  <si>
    <t>Although this program has been used by the U.S. Geological Survey (USGS), no warranty, expressed or implied, is made by the USGS or the U.S. Government as to the accuracy and functioning of the program and related program material nor shall the fact of distribution constitute any such warranty, and no responsibility is assumed by the USGS in connection therewith.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</si>
</sst>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0"/>
    <numFmt numFmtId="165" formatCode="[$-409]d\-mmm;@"/>
  </numFmts>
  <fonts count="10" x14ac:knownFonts="1">
    <font>
      <sz val="11"/>
      <color theme="1"/>
      <name val="Calibri"/>
      <family val="2"/>
      <scheme val="minor"/>
    </font>
    <font>
      <sz val="11"/>
      <color theme="1"/>
      <name val="Calibri"/>
      <family val="2"/>
      <scheme val="minor"/>
    </font>
    <font>
      <sz val="12"/>
      <color theme="1"/>
      <name val="Times New Roman"/>
      <family val="1"/>
    </font>
    <font>
      <b/>
      <sz val="12"/>
      <name val="Calibri"/>
      <family val="2"/>
      <scheme val="minor"/>
    </font>
    <font>
      <sz val="12"/>
      <name val="Calibri"/>
      <family val="2"/>
      <scheme val="minor"/>
    </font>
    <font>
      <b/>
      <sz val="12"/>
      <color rgb="FFFF0000"/>
      <name val="Calibri"/>
      <family val="2"/>
      <scheme val="minor"/>
    </font>
    <font>
      <b/>
      <sz val="12"/>
      <color theme="1"/>
      <name val="Calibri"/>
      <family val="2"/>
      <scheme val="minor"/>
    </font>
    <font>
      <sz val="12"/>
      <color theme="1"/>
      <name val="Calibri"/>
      <family val="2"/>
      <scheme val="minor"/>
    </font>
    <font>
      <b/>
      <sz val="12"/>
      <color theme="1"/>
      <name val="Times New Roman"/>
      <family val="1"/>
    </font>
    <font>
      <vertAlign val="superscript"/>
      <sz val="1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9"/>
        <bgColor indexed="64"/>
      </patternFill>
    </fill>
    <fill>
      <patternFill patternType="solid">
        <fgColor theme="0" tint="-0.14999847407452621"/>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3" fillId="0" borderId="0" xfId="0" applyFont="1" applyBorder="1" applyAlignment="1"/>
    <xf numFmtId="0" fontId="3" fillId="0" borderId="0" xfId="0" applyFont="1" applyBorder="1" applyAlignment="1">
      <alignment horizontal="left"/>
    </xf>
    <xf numFmtId="0" fontId="4" fillId="0" borderId="0" xfId="0" applyFont="1"/>
    <xf numFmtId="0" fontId="4" fillId="0" borderId="0" xfId="0" applyFont="1" applyFill="1" applyAlignment="1">
      <alignment horizontal="center"/>
    </xf>
    <xf numFmtId="49" fontId="4" fillId="0" borderId="0" xfId="0" applyNumberFormat="1" applyFont="1" applyFill="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0" fontId="4" fillId="0" borderId="0" xfId="0" applyFont="1" applyAlignment="1"/>
    <xf numFmtId="0" fontId="4" fillId="3" borderId="0" xfId="0" applyFont="1" applyFill="1" applyAlignment="1"/>
    <xf numFmtId="0" fontId="4" fillId="0" borderId="0" xfId="0" applyFont="1" applyAlignment="1">
      <alignment horizontal="left"/>
    </xf>
    <xf numFmtId="0" fontId="4" fillId="4" borderId="0" xfId="0" applyFont="1" applyFill="1" applyAlignment="1"/>
    <xf numFmtId="0" fontId="4" fillId="6" borderId="0" xfId="0" applyFont="1" applyFill="1" applyAlignment="1"/>
    <xf numFmtId="0" fontId="4" fillId="8" borderId="0" xfId="0" applyFont="1" applyFill="1" applyAlignment="1"/>
    <xf numFmtId="0" fontId="4" fillId="5" borderId="0" xfId="0" applyFont="1" applyFill="1"/>
    <xf numFmtId="0" fontId="4" fillId="0" borderId="0" xfId="0" applyFont="1" applyFill="1" applyAlignment="1">
      <alignment horizontal="left"/>
    </xf>
    <xf numFmtId="0" fontId="4" fillId="0" borderId="0" xfId="0" applyFont="1" applyFill="1"/>
    <xf numFmtId="0" fontId="6" fillId="0" borderId="0" xfId="0" applyFont="1" applyAlignment="1">
      <alignment horizontal="left"/>
    </xf>
    <xf numFmtId="0" fontId="7" fillId="0" borderId="0" xfId="0" applyFont="1" applyAlignment="1">
      <alignment horizontal="left"/>
    </xf>
    <xf numFmtId="0" fontId="7" fillId="0" borderId="0" xfId="0" applyFont="1" applyAlignment="1"/>
    <xf numFmtId="0" fontId="7" fillId="0" borderId="0" xfId="0" applyFont="1" applyBorder="1" applyAlignment="1">
      <alignment horizontal="left"/>
    </xf>
    <xf numFmtId="0" fontId="7" fillId="0" borderId="0" xfId="0" applyFont="1" applyFill="1" applyBorder="1"/>
    <xf numFmtId="4" fontId="0" fillId="0" borderId="0" xfId="0" applyNumberFormat="1" applyFont="1" applyFill="1" applyAlignment="1">
      <alignment horizontal="left"/>
    </xf>
    <xf numFmtId="0" fontId="0" fillId="0" borderId="0" xfId="0" applyFont="1" applyAlignment="1"/>
    <xf numFmtId="4" fontId="0" fillId="7" borderId="0" xfId="0" applyNumberFormat="1" applyFont="1" applyFill="1" applyAlignment="1">
      <alignment horizontal="left"/>
    </xf>
    <xf numFmtId="0" fontId="0" fillId="0" borderId="0" xfId="0" applyFont="1"/>
    <xf numFmtId="0" fontId="7" fillId="0" borderId="0" xfId="0" applyFont="1" applyAlignment="1">
      <alignment vertical="center"/>
    </xf>
    <xf numFmtId="165" fontId="7" fillId="0" borderId="0" xfId="0" applyNumberFormat="1" applyFont="1" applyFill="1"/>
    <xf numFmtId="2" fontId="7" fillId="0" borderId="0" xfId="0" applyNumberFormat="1" applyFont="1" applyFill="1"/>
    <xf numFmtId="0" fontId="7" fillId="0" borderId="0" xfId="0" applyFont="1"/>
    <xf numFmtId="165" fontId="7" fillId="0" borderId="0" xfId="0" applyNumberFormat="1" applyFont="1"/>
    <xf numFmtId="4" fontId="7" fillId="3" borderId="0" xfId="0" applyNumberFormat="1" applyFont="1" applyFill="1"/>
    <xf numFmtId="0" fontId="6" fillId="0" borderId="0" xfId="0" applyFont="1" applyFill="1" applyAlignment="1">
      <alignment horizontal="center" vertical="center"/>
    </xf>
    <xf numFmtId="165" fontId="7" fillId="7" borderId="0" xfId="0" applyNumberFormat="1" applyFont="1" applyFill="1"/>
    <xf numFmtId="43" fontId="7" fillId="2" borderId="0" xfId="0" applyNumberFormat="1" applyFont="1" applyFill="1" applyAlignment="1">
      <alignment horizontal="center"/>
    </xf>
    <xf numFmtId="43" fontId="7" fillId="2" borderId="0" xfId="1" applyFont="1" applyFill="1" applyAlignment="1">
      <alignment horizontal="center"/>
    </xf>
    <xf numFmtId="11" fontId="7" fillId="4" borderId="0" xfId="1" applyNumberFormat="1" applyFont="1" applyFill="1" applyAlignment="1">
      <alignment horizontal="center"/>
    </xf>
    <xf numFmtId="43" fontId="4" fillId="2" borderId="0" xfId="1" applyFont="1" applyFill="1" applyAlignment="1">
      <alignment horizontal="center"/>
    </xf>
    <xf numFmtId="4" fontId="7" fillId="8" borderId="0" xfId="0" applyNumberFormat="1" applyFont="1" applyFill="1"/>
    <xf numFmtId="4" fontId="7" fillId="4" borderId="0" xfId="0" applyNumberFormat="1" applyFont="1" applyFill="1" applyAlignment="1">
      <alignment horizontal="center"/>
    </xf>
    <xf numFmtId="4" fontId="7" fillId="5" borderId="0" xfId="0" applyNumberFormat="1" applyFont="1" applyFill="1"/>
    <xf numFmtId="4" fontId="7" fillId="6" borderId="0" xfId="0" applyNumberFormat="1" applyFont="1" applyFill="1"/>
    <xf numFmtId="164" fontId="7" fillId="5" borderId="0" xfId="0" applyNumberFormat="1" applyFont="1" applyFill="1"/>
    <xf numFmtId="4" fontId="7" fillId="4" borderId="0" xfId="0" applyNumberFormat="1" applyFont="1" applyFill="1"/>
    <xf numFmtId="4" fontId="7" fillId="6" borderId="0" xfId="0" applyNumberFormat="1" applyFont="1" applyFill="1" applyAlignment="1">
      <alignment horizontal="center" vertical="center"/>
    </xf>
    <xf numFmtId="43" fontId="7" fillId="4" borderId="0" xfId="0" applyNumberFormat="1" applyFont="1" applyFill="1" applyAlignment="1">
      <alignment horizontal="center"/>
    </xf>
    <xf numFmtId="43" fontId="7" fillId="4" borderId="0" xfId="1" applyFont="1" applyFill="1" applyAlignment="1">
      <alignment horizontal="center"/>
    </xf>
    <xf numFmtId="0" fontId="6" fillId="0" borderId="0" xfId="0" applyFont="1"/>
    <xf numFmtId="43" fontId="7" fillId="0" borderId="0" xfId="0" applyNumberFormat="1" applyFont="1"/>
    <xf numFmtId="0" fontId="2" fillId="0" borderId="0" xfId="0" applyFont="1" applyAlignment="1">
      <alignment vertical="top"/>
    </xf>
    <xf numFmtId="0" fontId="2" fillId="7" borderId="0" xfId="0" applyFont="1" applyFill="1" applyAlignment="1">
      <alignment vertical="top"/>
    </xf>
    <xf numFmtId="0" fontId="2" fillId="0" borderId="0" xfId="0" applyFont="1" applyAlignment="1">
      <alignment vertical="top" wrapText="1"/>
    </xf>
    <xf numFmtId="0" fontId="6" fillId="0" borderId="0" xfId="0" applyFont="1" applyAlignment="1">
      <alignment vertical="top"/>
    </xf>
    <xf numFmtId="0" fontId="7" fillId="0" borderId="0" xfId="0" applyFont="1" applyAlignment="1">
      <alignment vertical="top"/>
    </xf>
    <xf numFmtId="0" fontId="6" fillId="7" borderId="0" xfId="0" applyFont="1" applyFill="1" applyAlignment="1">
      <alignment vertical="top"/>
    </xf>
    <xf numFmtId="0" fontId="2" fillId="0" borderId="0" xfId="0" applyFont="1" applyAlignment="1">
      <alignment horizontal="left" vertic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7" fillId="3" borderId="0" xfId="0" applyFont="1" applyFill="1" applyAlignment="1">
      <alignment horizontal="left" vertical="top"/>
    </xf>
    <xf numFmtId="0" fontId="7" fillId="3" borderId="0" xfId="0" applyFont="1" applyFill="1" applyAlignment="1">
      <alignment horizontal="left" vertical="top" wrapText="1"/>
    </xf>
    <xf numFmtId="0" fontId="7" fillId="4" borderId="0" xfId="0" applyFont="1" applyFill="1" applyAlignment="1">
      <alignment horizontal="left" vertical="top"/>
    </xf>
    <xf numFmtId="0" fontId="7" fillId="4" borderId="0" xfId="0" applyFont="1" applyFill="1" applyAlignment="1">
      <alignment horizontal="left" vertical="top" wrapText="1"/>
    </xf>
    <xf numFmtId="0" fontId="7" fillId="8" borderId="0" xfId="0" applyFont="1" applyFill="1" applyAlignment="1">
      <alignment horizontal="left" vertical="top"/>
    </xf>
    <xf numFmtId="0" fontId="7" fillId="8" borderId="0" xfId="0" applyFont="1" applyFill="1" applyAlignment="1">
      <alignment horizontal="left" vertical="top" wrapText="1"/>
    </xf>
    <xf numFmtId="0" fontId="7" fillId="4" borderId="0" xfId="0" applyFont="1" applyFill="1" applyAlignment="1">
      <alignment vertical="top" wrapText="1"/>
    </xf>
    <xf numFmtId="0" fontId="7" fillId="5" borderId="0" xfId="0" applyFont="1" applyFill="1" applyAlignment="1">
      <alignment horizontal="left" vertical="top"/>
    </xf>
    <xf numFmtId="0" fontId="7" fillId="5" borderId="0" xfId="0" applyFont="1" applyFill="1" applyAlignment="1">
      <alignment horizontal="left" vertical="top" wrapText="1"/>
    </xf>
    <xf numFmtId="0" fontId="7" fillId="6" borderId="0" xfId="0" applyFont="1" applyFill="1" applyAlignment="1">
      <alignment horizontal="left" vertical="top"/>
    </xf>
    <xf numFmtId="0" fontId="7" fillId="6" borderId="0" xfId="0" applyFont="1" applyFill="1" applyAlignment="1">
      <alignment horizontal="left" vertical="top" wrapText="1"/>
    </xf>
    <xf numFmtId="165" fontId="7" fillId="0" borderId="1" xfId="0" applyNumberFormat="1" applyFont="1" applyFill="1" applyBorder="1" applyAlignment="1">
      <alignment horizontal="left"/>
    </xf>
    <xf numFmtId="0" fontId="7" fillId="0" borderId="0" xfId="0" applyFont="1" applyFill="1" applyAlignment="1">
      <alignment horizontal="left"/>
    </xf>
    <xf numFmtId="0" fontId="8" fillId="0" borderId="0" xfId="0" applyFont="1" applyFill="1" applyAlignment="1">
      <alignment horizontal="left" vertical="center"/>
    </xf>
    <xf numFmtId="0" fontId="6" fillId="0" borderId="0" xfId="0" applyFont="1" applyFill="1" applyAlignment="1">
      <alignment horizontal="left" vertical="center"/>
    </xf>
    <xf numFmtId="3" fontId="7" fillId="2" borderId="0" xfId="0" quotePrefix="1" applyNumberFormat="1" applyFont="1" applyFill="1"/>
    <xf numFmtId="3" fontId="7" fillId="2" borderId="0" xfId="0" applyNumberFormat="1" applyFont="1" applyFill="1"/>
    <xf numFmtId="3" fontId="7" fillId="2" borderId="0" xfId="1" applyNumberFormat="1" applyFont="1" applyFill="1"/>
    <xf numFmtId="0" fontId="0" fillId="0" borderId="0" xfId="0" applyAlignment="1">
      <alignment horizontal="left" wrapText="1"/>
    </xf>
    <xf numFmtId="0" fontId="3" fillId="0" borderId="0" xfId="0" applyFont="1" applyAlignment="1">
      <alignment horizontal="left"/>
    </xf>
    <xf numFmtId="0" fontId="6" fillId="0" borderId="0" xfId="0" applyFont="1" applyAlignment="1">
      <alignment horizontal="left" vertical="top"/>
    </xf>
    <xf numFmtId="0" fontId="6" fillId="7" borderId="0" xfId="0" applyFont="1" applyFill="1" applyAlignment="1">
      <alignment horizontal="left" vertical="top"/>
    </xf>
  </cellXfs>
  <cellStyles count="2">
    <cellStyle name="Comma" xfId="1" builtinId="3"/>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b="1" i="0" baseline="0">
                <a:effectLst/>
              </a:rPr>
              <a:t>Impoundment #1</a:t>
            </a:r>
            <a:endParaRPr lang="en-US" sz="1200">
              <a:effectLst/>
            </a:endParaRPr>
          </a:p>
        </c:rich>
      </c:tx>
      <c:overlay val="0"/>
    </c:title>
    <c:autoTitleDeleted val="0"/>
    <c:plotArea>
      <c:layout/>
      <c:scatterChart>
        <c:scatterStyle val="smoothMarker"/>
        <c:varyColors val="0"/>
        <c:ser>
          <c:idx val="0"/>
          <c:order val="0"/>
          <c:tx>
            <c:v>Specific Conductance</c:v>
          </c:tx>
          <c:spPr>
            <a:ln>
              <a:solidFill>
                <a:srgbClr val="0000FF"/>
              </a:solidFill>
              <a:prstDash val="solid"/>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model!$B$2:$B$32</c:f>
              <c:numCache>
                <c:formatCode>_(* #,##0.00_);_(* \(#,##0.00\);_(* "-"??_);_(@_)</c:formatCode>
                <c:ptCount val="31"/>
                <c:pt idx="0">
                  <c:v>5000</c:v>
                </c:pt>
                <c:pt idx="1">
                  <c:v>5117.2248227774508</c:v>
                </c:pt>
                <c:pt idx="2">
                  <c:v>5128.3467332572945</c:v>
                </c:pt>
                <c:pt idx="3">
                  <c:v>5140.3951658606802</c:v>
                </c:pt>
                <c:pt idx="4">
                  <c:v>5151.6239129452761</c:v>
                </c:pt>
                <c:pt idx="5">
                  <c:v>5163.7883759320985</c:v>
                </c:pt>
                <c:pt idx="6">
                  <c:v>5175.1255345682612</c:v>
                </c:pt>
                <c:pt idx="7">
                  <c:v>5187.4077427788061</c:v>
                </c:pt>
                <c:pt idx="8">
                  <c:v>5198.8549193017861</c:v>
                </c:pt>
                <c:pt idx="9">
                  <c:v>5211.2566218403963</c:v>
                </c:pt>
                <c:pt idx="10">
                  <c:v>5222.8154547639178</c:v>
                </c:pt>
                <c:pt idx="11">
                  <c:v>5235.3384358637149</c:v>
                </c:pt>
                <c:pt idx="12">
                  <c:v>5247.0105966941874</c:v>
                </c:pt>
                <c:pt idx="13">
                  <c:v>5259.6566766081414</c:v>
                </c:pt>
                <c:pt idx="14">
                  <c:v>5271.4438706837327</c:v>
                </c:pt>
                <c:pt idx="15">
                  <c:v>5284.2149066031752</c:v>
                </c:pt>
                <c:pt idx="16">
                  <c:v>5296.1188739586951</c:v>
                </c:pt>
                <c:pt idx="17">
                  <c:v>5309.0167609601103</c:v>
                </c:pt>
                <c:pt idx="18">
                  <c:v>5321.0392772187606</c:v>
                </c:pt>
                <c:pt idx="19">
                  <c:v>5334.0659492399964</c:v>
                </c:pt>
                <c:pt idx="20">
                  <c:v>5346.2088265327866</c:v>
                </c:pt>
                <c:pt idx="21">
                  <c:v>5359.3662573796419</c:v>
                </c:pt>
                <c:pt idx="22">
                  <c:v>5371.6313452935574</c:v>
                </c:pt>
                <c:pt idx="23">
                  <c:v>5384.9215496780971</c:v>
                </c:pt>
                <c:pt idx="24">
                  <c:v>5397.3107362340925</c:v>
                </c:pt>
                <c:pt idx="25">
                  <c:v>5410.7357708455047</c:v>
                </c:pt>
                <c:pt idx="26">
                  <c:v>5423.2509835074579</c:v>
                </c:pt>
                <c:pt idx="27">
                  <c:v>5436.8129481169553</c:v>
                </c:pt>
                <c:pt idx="28">
                  <c:v>5449.4561548325919</c:v>
                </c:pt>
                <c:pt idx="29">
                  <c:v>5463.1571934335298</c:v>
                </c:pt>
                <c:pt idx="30">
                  <c:v>5475.9304037087195</c:v>
                </c:pt>
              </c:numCache>
            </c:numRef>
          </c:yVal>
          <c:smooth val="1"/>
        </c:ser>
        <c:dLbls>
          <c:showLegendKey val="0"/>
          <c:showVal val="0"/>
          <c:showCatName val="0"/>
          <c:showSerName val="0"/>
          <c:showPercent val="0"/>
          <c:showBubbleSize val="0"/>
        </c:dLbls>
        <c:axId val="89571712"/>
        <c:axId val="89574400"/>
      </c:scatterChart>
      <c:scatterChart>
        <c:scatterStyle val="smoothMarker"/>
        <c:varyColors val="0"/>
        <c:ser>
          <c:idx val="1"/>
          <c:order val="1"/>
          <c:tx>
            <c:v>Pool elevation</c:v>
          </c:tx>
          <c:spPr>
            <a:ln>
              <a:solidFill>
                <a:srgbClr val="FF0000"/>
              </a:solidFill>
              <a:prstDash val="solid"/>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model!$H$2:$H$32</c:f>
              <c:numCache>
                <c:formatCode>#,##0.00</c:formatCode>
                <c:ptCount val="31"/>
                <c:pt idx="0" formatCode="_(* #,##0.00_);_(* \(#,##0.00\);_(* &quot;-&quot;??_);_(@_)">
                  <c:v>1005</c:v>
                </c:pt>
                <c:pt idx="1">
                  <c:v>1004</c:v>
                </c:pt>
                <c:pt idx="2">
                  <c:v>1004</c:v>
                </c:pt>
                <c:pt idx="3">
                  <c:v>1004</c:v>
                </c:pt>
                <c:pt idx="4">
                  <c:v>1004</c:v>
                </c:pt>
                <c:pt idx="5">
                  <c:v>1004</c:v>
                </c:pt>
                <c:pt idx="6">
                  <c:v>1004</c:v>
                </c:pt>
                <c:pt idx="7">
                  <c:v>1004</c:v>
                </c:pt>
                <c:pt idx="8">
                  <c:v>1004</c:v>
                </c:pt>
                <c:pt idx="9">
                  <c:v>1004</c:v>
                </c:pt>
                <c:pt idx="10">
                  <c:v>1004</c:v>
                </c:pt>
                <c:pt idx="11">
                  <c:v>1004</c:v>
                </c:pt>
                <c:pt idx="12">
                  <c:v>1004</c:v>
                </c:pt>
                <c:pt idx="13">
                  <c:v>1004</c:v>
                </c:pt>
                <c:pt idx="14">
                  <c:v>1004</c:v>
                </c:pt>
                <c:pt idx="15">
                  <c:v>1004</c:v>
                </c:pt>
                <c:pt idx="16">
                  <c:v>1004</c:v>
                </c:pt>
                <c:pt idx="17">
                  <c:v>1004</c:v>
                </c:pt>
                <c:pt idx="18">
                  <c:v>1004</c:v>
                </c:pt>
                <c:pt idx="19">
                  <c:v>1004</c:v>
                </c:pt>
                <c:pt idx="20">
                  <c:v>1004</c:v>
                </c:pt>
                <c:pt idx="21">
                  <c:v>1004</c:v>
                </c:pt>
                <c:pt idx="22">
                  <c:v>1004</c:v>
                </c:pt>
                <c:pt idx="23">
                  <c:v>1004</c:v>
                </c:pt>
                <c:pt idx="24">
                  <c:v>1004</c:v>
                </c:pt>
                <c:pt idx="25">
                  <c:v>1004</c:v>
                </c:pt>
                <c:pt idx="26">
                  <c:v>1004</c:v>
                </c:pt>
                <c:pt idx="27">
                  <c:v>1004</c:v>
                </c:pt>
                <c:pt idx="28">
                  <c:v>1004</c:v>
                </c:pt>
                <c:pt idx="29">
                  <c:v>1004</c:v>
                </c:pt>
                <c:pt idx="30">
                  <c:v>1004</c:v>
                </c:pt>
              </c:numCache>
            </c:numRef>
          </c:yVal>
          <c:smooth val="1"/>
        </c:ser>
        <c:dLbls>
          <c:showLegendKey val="0"/>
          <c:showVal val="0"/>
          <c:showCatName val="0"/>
          <c:showSerName val="0"/>
          <c:showPercent val="0"/>
          <c:showBubbleSize val="0"/>
        </c:dLbls>
        <c:axId val="89581056"/>
        <c:axId val="89576576"/>
      </c:scatterChart>
      <c:valAx>
        <c:axId val="89571712"/>
        <c:scaling>
          <c:orientation val="minMax"/>
        </c:scaling>
        <c:delete val="0"/>
        <c:axPos val="b"/>
        <c:title>
          <c:tx>
            <c:rich>
              <a:bodyPr/>
              <a:lstStyle/>
              <a:p>
                <a:pPr>
                  <a:defRPr/>
                </a:pPr>
                <a:r>
                  <a:rPr lang="en-US"/>
                  <a:t>Date</a:t>
                </a:r>
              </a:p>
            </c:rich>
          </c:tx>
          <c:overlay val="0"/>
        </c:title>
        <c:numFmt formatCode="[$-409]d\-mmm;@" sourceLinked="1"/>
        <c:majorTickMark val="in"/>
        <c:minorTickMark val="none"/>
        <c:tickLblPos val="nextTo"/>
        <c:crossAx val="89574400"/>
        <c:crosses val="autoZero"/>
        <c:crossBetween val="midCat"/>
      </c:valAx>
      <c:valAx>
        <c:axId val="89574400"/>
        <c:scaling>
          <c:orientation val="minMax"/>
          <c:max val="20000"/>
          <c:min val="0"/>
        </c:scaling>
        <c:delete val="0"/>
        <c:axPos val="l"/>
        <c:majorGridlines/>
        <c:title>
          <c:tx>
            <c:rich>
              <a:bodyPr/>
              <a:lstStyle/>
              <a:p>
                <a:pPr>
                  <a:defRPr>
                    <a:solidFill>
                      <a:srgbClr val="0000FF"/>
                    </a:solidFill>
                  </a:defRPr>
                </a:pPr>
                <a:r>
                  <a:rPr lang="en-US">
                    <a:solidFill>
                      <a:srgbClr val="0000FF"/>
                    </a:solidFill>
                  </a:rPr>
                  <a:t>Specific conductance,</a:t>
                </a:r>
              </a:p>
              <a:p>
                <a:pPr>
                  <a:defRPr>
                    <a:solidFill>
                      <a:srgbClr val="0000FF"/>
                    </a:solidFill>
                  </a:defRPr>
                </a:pPr>
                <a:r>
                  <a:rPr lang="en-US">
                    <a:solidFill>
                      <a:srgbClr val="0000FF"/>
                    </a:solidFill>
                  </a:rPr>
                  <a:t>in </a:t>
                </a:r>
                <a:r>
                  <a:rPr lang="en-US" sz="1200" b="1" i="0" u="none" strike="noStrike" baseline="0">
                    <a:solidFill>
                      <a:srgbClr val="0000FF"/>
                    </a:solidFill>
                    <a:effectLst/>
                  </a:rPr>
                  <a:t>microsiemens per centimeter at 25 degrees Celsius</a:t>
                </a:r>
                <a:endParaRPr lang="en-US">
                  <a:solidFill>
                    <a:srgbClr val="0000FF"/>
                  </a:solidFill>
                </a:endParaRPr>
              </a:p>
            </c:rich>
          </c:tx>
          <c:overlay val="0"/>
        </c:title>
        <c:numFmt formatCode="#,##0" sourceLinked="0"/>
        <c:majorTickMark val="none"/>
        <c:minorTickMark val="none"/>
        <c:tickLblPos val="nextTo"/>
        <c:crossAx val="89571712"/>
        <c:crosses val="autoZero"/>
        <c:crossBetween val="midCat"/>
      </c:valAx>
      <c:valAx>
        <c:axId val="89576576"/>
        <c:scaling>
          <c:orientation val="minMax"/>
          <c:max val="1010"/>
          <c:min val="1000"/>
        </c:scaling>
        <c:delete val="0"/>
        <c:axPos val="r"/>
        <c:title>
          <c:tx>
            <c:rich>
              <a:bodyPr rot="-5400000" vert="horz"/>
              <a:lstStyle/>
              <a:p>
                <a:pPr>
                  <a:defRPr/>
                </a:pPr>
                <a:r>
                  <a:rPr lang="en-US">
                    <a:solidFill>
                      <a:srgbClr val="FF0000"/>
                    </a:solidFill>
                  </a:rPr>
                  <a:t>Pool elevation, in feet</a:t>
                </a:r>
              </a:p>
            </c:rich>
          </c:tx>
          <c:overlay val="0"/>
        </c:title>
        <c:numFmt formatCode="#,##0" sourceLinked="0"/>
        <c:majorTickMark val="none"/>
        <c:minorTickMark val="none"/>
        <c:tickLblPos val="nextTo"/>
        <c:crossAx val="89581056"/>
        <c:crosses val="max"/>
        <c:crossBetween val="midCat"/>
      </c:valAx>
      <c:valAx>
        <c:axId val="89581056"/>
        <c:scaling>
          <c:orientation val="minMax"/>
        </c:scaling>
        <c:delete val="1"/>
        <c:axPos val="b"/>
        <c:numFmt formatCode="[$-409]d\-mmm;@" sourceLinked="1"/>
        <c:majorTickMark val="out"/>
        <c:minorTickMark val="none"/>
        <c:tickLblPos val="none"/>
        <c:crossAx val="89576576"/>
        <c:crosses val="autoZero"/>
        <c:crossBetween val="midCat"/>
      </c:valAx>
    </c:plotArea>
    <c:legend>
      <c:legendPos val="t"/>
      <c:overlay val="0"/>
    </c:legend>
    <c:plotVisOnly val="1"/>
    <c:dispBlanksAs val="gap"/>
    <c:showDLblsOverMax val="0"/>
  </c:chart>
  <c:txPr>
    <a:bodyPr/>
    <a:lstStyle/>
    <a:p>
      <a:pPr>
        <a:defRPr sz="1200"/>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Impoundment</a:t>
            </a:r>
            <a:r>
              <a:rPr lang="en-US" sz="1200" baseline="0"/>
              <a:t> #1</a:t>
            </a:r>
            <a:endParaRPr lang="en-US" sz="1200"/>
          </a:p>
        </c:rich>
      </c:tx>
      <c:overlay val="0"/>
    </c:title>
    <c:autoTitleDeleted val="0"/>
    <c:plotArea>
      <c:layout/>
      <c:scatterChart>
        <c:scatterStyle val="smoothMarker"/>
        <c:varyColors val="0"/>
        <c:ser>
          <c:idx val="0"/>
          <c:order val="0"/>
          <c:tx>
            <c:v>Depth</c:v>
          </c:tx>
          <c:spPr>
            <a:ln>
              <a:solidFill>
                <a:schemeClr val="tx1"/>
              </a:solidFill>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model!$C$2:$C$32</c:f>
              <c:numCache>
                <c:formatCode>#,##0.00</c:formatCode>
                <c:ptCount val="31"/>
                <c:pt idx="0">
                  <c:v>5</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numCache>
            </c:numRef>
          </c:yVal>
          <c:smooth val="1"/>
        </c:ser>
        <c:dLbls>
          <c:showLegendKey val="0"/>
          <c:showVal val="0"/>
          <c:showCatName val="0"/>
          <c:showSerName val="0"/>
          <c:showPercent val="0"/>
          <c:showBubbleSize val="0"/>
        </c:dLbls>
        <c:axId val="96650752"/>
        <c:axId val="108378368"/>
      </c:scatterChart>
      <c:scatterChart>
        <c:scatterStyle val="smoothMarker"/>
        <c:varyColors val="0"/>
        <c:ser>
          <c:idx val="1"/>
          <c:order val="1"/>
          <c:tx>
            <c:v>Transition area</c:v>
          </c:tx>
          <c:spPr>
            <a:ln>
              <a:solidFill>
                <a:schemeClr val="accent3">
                  <a:lumMod val="75000"/>
                </a:schemeClr>
              </a:solidFill>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model!$D$2:$D$32</c:f>
              <c:numCache>
                <c:formatCode>#,##0.00</c:formatCode>
                <c:ptCount val="31"/>
                <c:pt idx="0">
                  <c:v>1700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2000</c:v>
                </c:pt>
              </c:numCache>
            </c:numRef>
          </c:yVal>
          <c:smooth val="1"/>
        </c:ser>
        <c:ser>
          <c:idx val="2"/>
          <c:order val="2"/>
          <c:tx>
            <c:v>Surface area</c:v>
          </c:tx>
          <c:spPr>
            <a:ln>
              <a:solidFill>
                <a:srgbClr val="0000FF"/>
              </a:solidFill>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model!$E$2:$E$32</c:f>
              <c:numCache>
                <c:formatCode>#,##0.00</c:formatCode>
                <c:ptCount val="31"/>
                <c:pt idx="0">
                  <c:v>3800</c:v>
                </c:pt>
                <c:pt idx="1">
                  <c:v>3500</c:v>
                </c:pt>
                <c:pt idx="2">
                  <c:v>3500</c:v>
                </c:pt>
                <c:pt idx="3">
                  <c:v>3500</c:v>
                </c:pt>
                <c:pt idx="4">
                  <c:v>3500</c:v>
                </c:pt>
                <c:pt idx="5">
                  <c:v>3500</c:v>
                </c:pt>
                <c:pt idx="6">
                  <c:v>3500</c:v>
                </c:pt>
                <c:pt idx="7">
                  <c:v>3500</c:v>
                </c:pt>
                <c:pt idx="8">
                  <c:v>3500</c:v>
                </c:pt>
                <c:pt idx="9">
                  <c:v>3500</c:v>
                </c:pt>
                <c:pt idx="10">
                  <c:v>3500</c:v>
                </c:pt>
                <c:pt idx="11">
                  <c:v>3500</c:v>
                </c:pt>
                <c:pt idx="12">
                  <c:v>3500</c:v>
                </c:pt>
                <c:pt idx="13">
                  <c:v>3500</c:v>
                </c:pt>
                <c:pt idx="14">
                  <c:v>3500</c:v>
                </c:pt>
                <c:pt idx="15">
                  <c:v>3500</c:v>
                </c:pt>
                <c:pt idx="16">
                  <c:v>3500</c:v>
                </c:pt>
                <c:pt idx="17">
                  <c:v>3500</c:v>
                </c:pt>
                <c:pt idx="18">
                  <c:v>3500</c:v>
                </c:pt>
                <c:pt idx="19">
                  <c:v>3500</c:v>
                </c:pt>
                <c:pt idx="20">
                  <c:v>3500</c:v>
                </c:pt>
                <c:pt idx="21">
                  <c:v>3500</c:v>
                </c:pt>
                <c:pt idx="22">
                  <c:v>3500</c:v>
                </c:pt>
                <c:pt idx="23">
                  <c:v>3500</c:v>
                </c:pt>
                <c:pt idx="24">
                  <c:v>3500</c:v>
                </c:pt>
                <c:pt idx="25">
                  <c:v>3500</c:v>
                </c:pt>
                <c:pt idx="26">
                  <c:v>3500</c:v>
                </c:pt>
                <c:pt idx="27">
                  <c:v>3500</c:v>
                </c:pt>
                <c:pt idx="28">
                  <c:v>3500</c:v>
                </c:pt>
                <c:pt idx="29">
                  <c:v>3500</c:v>
                </c:pt>
                <c:pt idx="30">
                  <c:v>3500</c:v>
                </c:pt>
              </c:numCache>
            </c:numRef>
          </c:yVal>
          <c:smooth val="1"/>
        </c:ser>
        <c:dLbls>
          <c:showLegendKey val="0"/>
          <c:showVal val="0"/>
          <c:showCatName val="0"/>
          <c:showSerName val="0"/>
          <c:showPercent val="0"/>
          <c:showBubbleSize val="0"/>
        </c:dLbls>
        <c:axId val="109382656"/>
        <c:axId val="109380352"/>
      </c:scatterChart>
      <c:valAx>
        <c:axId val="96650752"/>
        <c:scaling>
          <c:orientation val="minMax"/>
        </c:scaling>
        <c:delete val="0"/>
        <c:axPos val="b"/>
        <c:title>
          <c:tx>
            <c:rich>
              <a:bodyPr/>
              <a:lstStyle/>
              <a:p>
                <a:pPr>
                  <a:defRPr/>
                </a:pPr>
                <a:r>
                  <a:rPr lang="en-US"/>
                  <a:t>Date</a:t>
                </a:r>
              </a:p>
            </c:rich>
          </c:tx>
          <c:overlay val="0"/>
        </c:title>
        <c:numFmt formatCode="[$-409]d\-mmm;@" sourceLinked="1"/>
        <c:majorTickMark val="none"/>
        <c:minorTickMark val="none"/>
        <c:tickLblPos val="nextTo"/>
        <c:crossAx val="108378368"/>
        <c:crosses val="autoZero"/>
        <c:crossBetween val="midCat"/>
      </c:valAx>
      <c:valAx>
        <c:axId val="108378368"/>
        <c:scaling>
          <c:orientation val="minMax"/>
        </c:scaling>
        <c:delete val="0"/>
        <c:axPos val="l"/>
        <c:majorGridlines/>
        <c:title>
          <c:tx>
            <c:rich>
              <a:bodyPr/>
              <a:lstStyle/>
              <a:p>
                <a:pPr>
                  <a:defRPr>
                    <a:solidFill>
                      <a:sysClr val="windowText" lastClr="000000"/>
                    </a:solidFill>
                  </a:defRPr>
                </a:pPr>
                <a:r>
                  <a:rPr lang="en-US">
                    <a:solidFill>
                      <a:sysClr val="windowText" lastClr="000000"/>
                    </a:solidFill>
                  </a:rPr>
                  <a:t>Mean depth, in feet</a:t>
                </a:r>
              </a:p>
            </c:rich>
          </c:tx>
          <c:overlay val="0"/>
        </c:title>
        <c:numFmt formatCode="#,##0.00" sourceLinked="1"/>
        <c:majorTickMark val="none"/>
        <c:minorTickMark val="none"/>
        <c:tickLblPos val="nextTo"/>
        <c:crossAx val="96650752"/>
        <c:crosses val="autoZero"/>
        <c:crossBetween val="midCat"/>
      </c:valAx>
      <c:valAx>
        <c:axId val="109380352"/>
        <c:scaling>
          <c:orientation val="minMax"/>
        </c:scaling>
        <c:delete val="0"/>
        <c:axPos val="r"/>
        <c:title>
          <c:tx>
            <c:rich>
              <a:bodyPr rot="-5400000" vert="horz"/>
              <a:lstStyle/>
              <a:p>
                <a:pPr>
                  <a:defRPr>
                    <a:solidFill>
                      <a:sysClr val="windowText" lastClr="000000"/>
                    </a:solidFill>
                  </a:defRPr>
                </a:pPr>
                <a:r>
                  <a:rPr lang="en-US">
                    <a:solidFill>
                      <a:sysClr val="windowText" lastClr="000000"/>
                    </a:solidFill>
                  </a:rPr>
                  <a:t> Surface area, in acres</a:t>
                </a:r>
              </a:p>
            </c:rich>
          </c:tx>
          <c:overlay val="0"/>
        </c:title>
        <c:numFmt formatCode="#,##0.00" sourceLinked="1"/>
        <c:majorTickMark val="out"/>
        <c:minorTickMark val="none"/>
        <c:tickLblPos val="nextTo"/>
        <c:crossAx val="109382656"/>
        <c:crosses val="max"/>
        <c:crossBetween val="midCat"/>
      </c:valAx>
      <c:valAx>
        <c:axId val="109382656"/>
        <c:scaling>
          <c:orientation val="minMax"/>
        </c:scaling>
        <c:delete val="1"/>
        <c:axPos val="b"/>
        <c:numFmt formatCode="[$-409]d\-mmm;@" sourceLinked="1"/>
        <c:majorTickMark val="out"/>
        <c:minorTickMark val="none"/>
        <c:tickLblPos val="none"/>
        <c:crossAx val="109380352"/>
        <c:crosses val="autoZero"/>
        <c:crossBetween val="midCat"/>
      </c:valAx>
    </c:plotArea>
    <c:legend>
      <c:legendPos val="t"/>
      <c:overlay val="0"/>
    </c:legend>
    <c:plotVisOnly val="1"/>
    <c:dispBlanksAs val="gap"/>
    <c:showDLblsOverMax val="0"/>
  </c:chart>
  <c:txPr>
    <a:bodyPr/>
    <a:lstStyle/>
    <a:p>
      <a:pPr>
        <a:defRPr sz="1200"/>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Impoundment #1</a:t>
            </a:r>
          </a:p>
        </c:rich>
      </c:tx>
      <c:overlay val="0"/>
    </c:title>
    <c:autoTitleDeleted val="0"/>
    <c:plotArea>
      <c:layout/>
      <c:scatterChart>
        <c:scatterStyle val="smoothMarker"/>
        <c:varyColors val="0"/>
        <c:ser>
          <c:idx val="0"/>
          <c:order val="0"/>
          <c:tx>
            <c:strRef>
              <c:f>model!#REF!</c:f>
              <c:strCache>
                <c:ptCount val="1"/>
                <c:pt idx="0">
                  <c:v>#REF!</c:v>
                </c:pt>
              </c:strCache>
            </c:strRef>
          </c:tx>
          <c:spPr>
            <a:ln>
              <a:solidFill>
                <a:schemeClr val="accent1"/>
              </a:solidFill>
            </a:ln>
          </c:spPr>
          <c:marker>
            <c:symbol val="none"/>
          </c:marker>
          <c:xVal>
            <c:numRef>
              <c:f>model!$A$2:$A$32</c:f>
              <c:numCache>
                <c:formatCode>[$-409]d\-mmm;@</c:formatCode>
                <c:ptCount val="31"/>
                <c:pt idx="0">
                  <c:v>40299</c:v>
                </c:pt>
                <c:pt idx="1">
                  <c:v>40300</c:v>
                </c:pt>
                <c:pt idx="2">
                  <c:v>40301</c:v>
                </c:pt>
                <c:pt idx="3">
                  <c:v>40302</c:v>
                </c:pt>
                <c:pt idx="4">
                  <c:v>40303</c:v>
                </c:pt>
                <c:pt idx="5">
                  <c:v>40304</c:v>
                </c:pt>
                <c:pt idx="6">
                  <c:v>40305</c:v>
                </c:pt>
                <c:pt idx="7">
                  <c:v>40306</c:v>
                </c:pt>
                <c:pt idx="8">
                  <c:v>40307</c:v>
                </c:pt>
                <c:pt idx="9">
                  <c:v>40308</c:v>
                </c:pt>
                <c:pt idx="10">
                  <c:v>40309</c:v>
                </c:pt>
                <c:pt idx="11">
                  <c:v>40310</c:v>
                </c:pt>
                <c:pt idx="12">
                  <c:v>40311</c:v>
                </c:pt>
                <c:pt idx="13">
                  <c:v>40312</c:v>
                </c:pt>
                <c:pt idx="14">
                  <c:v>40313</c:v>
                </c:pt>
                <c:pt idx="15">
                  <c:v>40314</c:v>
                </c:pt>
                <c:pt idx="16">
                  <c:v>40315</c:v>
                </c:pt>
                <c:pt idx="17">
                  <c:v>40316</c:v>
                </c:pt>
                <c:pt idx="18">
                  <c:v>40317</c:v>
                </c:pt>
                <c:pt idx="19">
                  <c:v>40318</c:v>
                </c:pt>
                <c:pt idx="20">
                  <c:v>40319</c:v>
                </c:pt>
                <c:pt idx="21">
                  <c:v>40320</c:v>
                </c:pt>
                <c:pt idx="22">
                  <c:v>40321</c:v>
                </c:pt>
                <c:pt idx="23">
                  <c:v>40322</c:v>
                </c:pt>
                <c:pt idx="24">
                  <c:v>40323</c:v>
                </c:pt>
                <c:pt idx="25">
                  <c:v>40324</c:v>
                </c:pt>
                <c:pt idx="26">
                  <c:v>40325</c:v>
                </c:pt>
                <c:pt idx="27">
                  <c:v>40326</c:v>
                </c:pt>
                <c:pt idx="28">
                  <c:v>40327</c:v>
                </c:pt>
                <c:pt idx="29">
                  <c:v>40328</c:v>
                </c:pt>
                <c:pt idx="30">
                  <c:v>40329</c:v>
                </c:pt>
              </c:numCache>
            </c:numRef>
          </c:xVal>
          <c:yVal>
            <c:numRef>
              <c:f>model!$G$2:$G$32</c:f>
              <c:numCache>
                <c:formatCode>0.00E+00</c:formatCode>
                <c:ptCount val="31"/>
                <c:pt idx="0">
                  <c:v>71441812235578.484</c:v>
                </c:pt>
                <c:pt idx="1">
                  <c:v>71441812235578.484</c:v>
                </c:pt>
                <c:pt idx="2">
                  <c:v>71441812235578.484</c:v>
                </c:pt>
                <c:pt idx="3">
                  <c:v>71441812235578.484</c:v>
                </c:pt>
                <c:pt idx="4">
                  <c:v>71441812235578.484</c:v>
                </c:pt>
                <c:pt idx="5">
                  <c:v>71441812235578.484</c:v>
                </c:pt>
                <c:pt idx="6">
                  <c:v>71441812235578.484</c:v>
                </c:pt>
                <c:pt idx="7">
                  <c:v>71441812235578.484</c:v>
                </c:pt>
                <c:pt idx="8">
                  <c:v>71441812235578.484</c:v>
                </c:pt>
                <c:pt idx="9">
                  <c:v>71441812235578.484</c:v>
                </c:pt>
                <c:pt idx="10">
                  <c:v>71441812235578.484</c:v>
                </c:pt>
                <c:pt idx="11">
                  <c:v>71441812235578.484</c:v>
                </c:pt>
                <c:pt idx="12">
                  <c:v>71441812235578.484</c:v>
                </c:pt>
                <c:pt idx="13">
                  <c:v>71441812235578.484</c:v>
                </c:pt>
                <c:pt idx="14">
                  <c:v>71441812235578.484</c:v>
                </c:pt>
                <c:pt idx="15">
                  <c:v>71441812235578.484</c:v>
                </c:pt>
                <c:pt idx="16">
                  <c:v>71441812235578.484</c:v>
                </c:pt>
                <c:pt idx="17">
                  <c:v>71441812235578.484</c:v>
                </c:pt>
                <c:pt idx="18">
                  <c:v>71441812235578.484</c:v>
                </c:pt>
                <c:pt idx="19">
                  <c:v>71441812235578.484</c:v>
                </c:pt>
                <c:pt idx="20">
                  <c:v>71441812235578.484</c:v>
                </c:pt>
                <c:pt idx="21">
                  <c:v>71441812235578.484</c:v>
                </c:pt>
                <c:pt idx="22">
                  <c:v>71441812235578.484</c:v>
                </c:pt>
                <c:pt idx="23">
                  <c:v>71441812235578.484</c:v>
                </c:pt>
                <c:pt idx="24">
                  <c:v>71441812235578.484</c:v>
                </c:pt>
                <c:pt idx="25">
                  <c:v>71441812235578.484</c:v>
                </c:pt>
                <c:pt idx="26">
                  <c:v>71441812235578.484</c:v>
                </c:pt>
                <c:pt idx="27">
                  <c:v>71441812235578.484</c:v>
                </c:pt>
                <c:pt idx="28">
                  <c:v>71441812235578.484</c:v>
                </c:pt>
                <c:pt idx="29">
                  <c:v>71441812235578.484</c:v>
                </c:pt>
                <c:pt idx="30">
                  <c:v>71441812235578.484</c:v>
                </c:pt>
              </c:numCache>
            </c:numRef>
          </c:yVal>
          <c:smooth val="1"/>
        </c:ser>
        <c:dLbls>
          <c:showLegendKey val="0"/>
          <c:showVal val="0"/>
          <c:showCatName val="0"/>
          <c:showSerName val="0"/>
          <c:showPercent val="0"/>
          <c:showBubbleSize val="0"/>
        </c:dLbls>
        <c:axId val="111928448"/>
        <c:axId val="112999040"/>
      </c:scatterChart>
      <c:valAx>
        <c:axId val="111928448"/>
        <c:scaling>
          <c:orientation val="minMax"/>
        </c:scaling>
        <c:delete val="0"/>
        <c:axPos val="b"/>
        <c:title>
          <c:tx>
            <c:rich>
              <a:bodyPr/>
              <a:lstStyle/>
              <a:p>
                <a:pPr>
                  <a:defRPr/>
                </a:pPr>
                <a:r>
                  <a:rPr lang="en-US"/>
                  <a:t>Date</a:t>
                </a:r>
              </a:p>
            </c:rich>
          </c:tx>
          <c:overlay val="0"/>
        </c:title>
        <c:numFmt formatCode="[$-409]d\-mmm;@" sourceLinked="1"/>
        <c:majorTickMark val="out"/>
        <c:minorTickMark val="none"/>
        <c:tickLblPos val="nextTo"/>
        <c:crossAx val="112999040"/>
        <c:crosses val="autoZero"/>
        <c:crossBetween val="midCat"/>
      </c:valAx>
      <c:valAx>
        <c:axId val="112999040"/>
        <c:scaling>
          <c:orientation val="minMax"/>
        </c:scaling>
        <c:delete val="0"/>
        <c:axPos val="l"/>
        <c:majorGridlines/>
        <c:title>
          <c:tx>
            <c:rich>
              <a:bodyPr rot="-5400000" vert="horz"/>
              <a:lstStyle/>
              <a:p>
                <a:pPr>
                  <a:defRPr>
                    <a:solidFill>
                      <a:schemeClr val="accent1"/>
                    </a:solidFill>
                  </a:defRPr>
                </a:pPr>
                <a:r>
                  <a:rPr lang="en-US">
                    <a:solidFill>
                      <a:schemeClr val="accent1"/>
                    </a:solidFill>
                  </a:rPr>
                  <a:t>Mass of salt, in milligrams</a:t>
                </a:r>
              </a:p>
            </c:rich>
          </c:tx>
          <c:overlay val="0"/>
        </c:title>
        <c:numFmt formatCode="0.00E+00" sourceLinked="1"/>
        <c:majorTickMark val="out"/>
        <c:minorTickMark val="none"/>
        <c:tickLblPos val="nextTo"/>
        <c:crossAx val="111928448"/>
        <c:crosses val="autoZero"/>
        <c:crossBetween val="midCat"/>
      </c:valAx>
    </c:plotArea>
    <c:plotVisOnly val="1"/>
    <c:dispBlanksAs val="gap"/>
    <c:showDLblsOverMax val="0"/>
  </c:chart>
  <c:txPr>
    <a:bodyPr/>
    <a:lstStyle/>
    <a:p>
      <a:pPr>
        <a:defRPr sz="1200"/>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1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5"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2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2051" cy="62930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zoomScaleNormal="100" workbookViewId="0">
      <selection sqref="A1:A8"/>
    </sheetView>
  </sheetViews>
  <sheetFormatPr defaultColWidth="2.6640625" defaultRowHeight="14.4" x14ac:dyDescent="0.3"/>
  <cols>
    <col min="1" max="1" width="50.6640625" customWidth="1"/>
  </cols>
  <sheetData>
    <row r="1" spans="1:1" ht="15" customHeight="1" x14ac:dyDescent="0.3">
      <c r="A1" s="75" t="s">
        <v>96</v>
      </c>
    </row>
    <row r="2" spans="1:1" x14ac:dyDescent="0.3">
      <c r="A2" s="75"/>
    </row>
    <row r="3" spans="1:1" x14ac:dyDescent="0.3">
      <c r="A3" s="75"/>
    </row>
    <row r="4" spans="1:1" x14ac:dyDescent="0.3">
      <c r="A4" s="75"/>
    </row>
    <row r="5" spans="1:1" x14ac:dyDescent="0.3">
      <c r="A5" s="75"/>
    </row>
    <row r="6" spans="1:1" x14ac:dyDescent="0.3">
      <c r="A6" s="75"/>
    </row>
    <row r="7" spans="1:1" x14ac:dyDescent="0.3">
      <c r="A7" s="75"/>
    </row>
    <row r="8" spans="1:1" x14ac:dyDescent="0.3">
      <c r="A8" s="75"/>
    </row>
  </sheetData>
  <mergeCells count="1">
    <mergeCell ref="A1:A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39.5546875" style="7" bestFit="1" customWidth="1"/>
    <col min="2" max="2" width="46.5546875" style="7" bestFit="1" customWidth="1"/>
    <col min="3" max="3" width="226.88671875" style="9" bestFit="1" customWidth="1"/>
    <col min="4" max="16384" width="9.109375" style="3"/>
  </cols>
  <sheetData>
    <row r="1" spans="1:4" ht="15.75" x14ac:dyDescent="0.25">
      <c r="A1" s="1" t="s">
        <v>16</v>
      </c>
      <c r="B1" s="1" t="s">
        <v>8</v>
      </c>
      <c r="C1" s="2" t="s">
        <v>17</v>
      </c>
    </row>
    <row r="2" spans="1:4" ht="15.75" x14ac:dyDescent="0.25">
      <c r="A2" s="55" t="s">
        <v>0</v>
      </c>
      <c r="B2" s="55" t="s">
        <v>18</v>
      </c>
      <c r="C2" s="56" t="s">
        <v>19</v>
      </c>
    </row>
    <row r="3" spans="1:4" x14ac:dyDescent="0.3">
      <c r="A3" s="57" t="s">
        <v>61</v>
      </c>
      <c r="B3" s="57" t="s">
        <v>94</v>
      </c>
      <c r="C3" s="58" t="s">
        <v>55</v>
      </c>
      <c r="D3" s="4"/>
    </row>
    <row r="4" spans="1:4" x14ac:dyDescent="0.3">
      <c r="A4" s="57" t="s">
        <v>39</v>
      </c>
      <c r="B4" s="57" t="s">
        <v>9</v>
      </c>
      <c r="C4" s="58" t="s">
        <v>56</v>
      </c>
      <c r="D4" s="4"/>
    </row>
    <row r="5" spans="1:4" x14ac:dyDescent="0.3">
      <c r="A5" s="57" t="s">
        <v>25</v>
      </c>
      <c r="B5" s="57" t="s">
        <v>10</v>
      </c>
      <c r="C5" s="58" t="s">
        <v>57</v>
      </c>
      <c r="D5" s="4"/>
    </row>
    <row r="6" spans="1:4" x14ac:dyDescent="0.3">
      <c r="A6" s="57" t="s">
        <v>40</v>
      </c>
      <c r="B6" s="57" t="s">
        <v>10</v>
      </c>
      <c r="C6" s="58" t="s">
        <v>58</v>
      </c>
      <c r="D6" s="4"/>
    </row>
    <row r="7" spans="1:4" ht="31.2" x14ac:dyDescent="0.3">
      <c r="A7" s="59" t="s">
        <v>44</v>
      </c>
      <c r="B7" s="59" t="s">
        <v>11</v>
      </c>
      <c r="C7" s="60" t="s">
        <v>59</v>
      </c>
      <c r="D7" s="4"/>
    </row>
    <row r="8" spans="1:4" ht="31.2" x14ac:dyDescent="0.3">
      <c r="A8" s="61" t="s">
        <v>43</v>
      </c>
      <c r="B8" s="61" t="s">
        <v>11</v>
      </c>
      <c r="C8" s="62" t="s">
        <v>60</v>
      </c>
      <c r="D8" s="4"/>
    </row>
    <row r="9" spans="1:4" ht="33" x14ac:dyDescent="0.3">
      <c r="A9" s="59" t="s">
        <v>72</v>
      </c>
      <c r="B9" s="59" t="s">
        <v>95</v>
      </c>
      <c r="C9" s="63" t="s">
        <v>90</v>
      </c>
      <c r="D9" s="4"/>
    </row>
    <row r="10" spans="1:4" ht="33" x14ac:dyDescent="0.3">
      <c r="A10" s="59" t="s">
        <v>62</v>
      </c>
      <c r="B10" s="59" t="s">
        <v>12</v>
      </c>
      <c r="C10" s="60" t="s">
        <v>91</v>
      </c>
      <c r="D10" s="4"/>
    </row>
    <row r="11" spans="1:4" x14ac:dyDescent="0.3">
      <c r="A11" s="59" t="s">
        <v>50</v>
      </c>
      <c r="B11" s="59" t="s">
        <v>13</v>
      </c>
      <c r="C11" s="60" t="s">
        <v>63</v>
      </c>
      <c r="D11" s="4"/>
    </row>
    <row r="12" spans="1:4" x14ac:dyDescent="0.3">
      <c r="A12" s="64" t="s">
        <v>28</v>
      </c>
      <c r="B12" s="64" t="s">
        <v>14</v>
      </c>
      <c r="C12" s="65" t="s">
        <v>64</v>
      </c>
      <c r="D12" s="4"/>
    </row>
    <row r="13" spans="1:4" x14ac:dyDescent="0.3">
      <c r="A13" s="64" t="s">
        <v>33</v>
      </c>
      <c r="B13" s="64" t="s">
        <v>11</v>
      </c>
      <c r="C13" s="65" t="s">
        <v>65</v>
      </c>
      <c r="D13" s="4"/>
    </row>
    <row r="14" spans="1:4" x14ac:dyDescent="0.3">
      <c r="A14" s="64" t="s">
        <v>34</v>
      </c>
      <c r="B14" s="64" t="s">
        <v>95</v>
      </c>
      <c r="C14" s="65" t="s">
        <v>66</v>
      </c>
      <c r="D14" s="4"/>
    </row>
    <row r="15" spans="1:4" x14ac:dyDescent="0.3">
      <c r="A15" s="59" t="s">
        <v>45</v>
      </c>
      <c r="B15" s="59" t="s">
        <v>11</v>
      </c>
      <c r="C15" s="60" t="s">
        <v>67</v>
      </c>
      <c r="D15" s="4"/>
    </row>
    <row r="16" spans="1:4" s="6" customFormat="1" ht="31.2" x14ac:dyDescent="0.3">
      <c r="A16" s="65" t="s">
        <v>47</v>
      </c>
      <c r="B16" s="65" t="s">
        <v>9</v>
      </c>
      <c r="C16" s="65" t="s">
        <v>68</v>
      </c>
      <c r="D16" s="5"/>
    </row>
    <row r="17" spans="1:4" x14ac:dyDescent="0.3">
      <c r="A17" s="64" t="s">
        <v>35</v>
      </c>
      <c r="B17" s="64" t="s">
        <v>11</v>
      </c>
      <c r="C17" s="65" t="s">
        <v>69</v>
      </c>
      <c r="D17" s="4"/>
    </row>
    <row r="18" spans="1:4" x14ac:dyDescent="0.3">
      <c r="A18" s="59" t="s">
        <v>51</v>
      </c>
      <c r="B18" s="59" t="s">
        <v>11</v>
      </c>
      <c r="C18" s="60" t="s">
        <v>70</v>
      </c>
      <c r="D18" s="4"/>
    </row>
    <row r="19" spans="1:4" ht="33" x14ac:dyDescent="0.3">
      <c r="A19" s="66" t="s">
        <v>46</v>
      </c>
      <c r="B19" s="66" t="s">
        <v>13</v>
      </c>
      <c r="C19" s="67" t="s">
        <v>92</v>
      </c>
    </row>
    <row r="20" spans="1:4" s="7" customFormat="1" x14ac:dyDescent="0.3">
      <c r="A20" s="59" t="s">
        <v>48</v>
      </c>
      <c r="B20" s="59" t="s">
        <v>11</v>
      </c>
      <c r="C20" s="63" t="s">
        <v>71</v>
      </c>
    </row>
    <row r="21" spans="1:4" ht="33" x14ac:dyDescent="0.3">
      <c r="A21" s="66" t="s">
        <v>49</v>
      </c>
      <c r="B21" s="66" t="s">
        <v>13</v>
      </c>
      <c r="C21" s="67" t="s">
        <v>93</v>
      </c>
    </row>
    <row r="22" spans="1:4" ht="15.75" x14ac:dyDescent="0.25">
      <c r="A22" s="25"/>
      <c r="B22" s="25"/>
      <c r="C22" s="25"/>
    </row>
    <row r="23" spans="1:4" ht="15.75" x14ac:dyDescent="0.25">
      <c r="A23" s="76" t="s">
        <v>20</v>
      </c>
      <c r="B23" s="76"/>
      <c r="C23" s="76"/>
    </row>
    <row r="26" spans="1:4" ht="15.75" x14ac:dyDescent="0.25">
      <c r="A26" s="76" t="s">
        <v>5</v>
      </c>
      <c r="B26" s="76"/>
      <c r="C26" s="76"/>
    </row>
    <row r="27" spans="1:4" ht="15.75" x14ac:dyDescent="0.25">
      <c r="A27" s="8" t="s">
        <v>15</v>
      </c>
      <c r="B27" s="8"/>
    </row>
    <row r="28" spans="1:4" ht="15.75" x14ac:dyDescent="0.25">
      <c r="A28" s="10" t="s">
        <v>6</v>
      </c>
      <c r="B28" s="10"/>
    </row>
    <row r="29" spans="1:4" ht="15.75" x14ac:dyDescent="0.25">
      <c r="A29" s="11" t="s">
        <v>6</v>
      </c>
      <c r="B29" s="11"/>
    </row>
    <row r="30" spans="1:4" ht="15.75" x14ac:dyDescent="0.25">
      <c r="A30" s="12" t="s">
        <v>6</v>
      </c>
      <c r="B30" s="12"/>
    </row>
    <row r="31" spans="1:4" s="15" customFormat="1" x14ac:dyDescent="0.3">
      <c r="A31" s="13" t="s">
        <v>7</v>
      </c>
      <c r="B31" s="13"/>
      <c r="C31" s="14"/>
    </row>
  </sheetData>
  <mergeCells count="2">
    <mergeCell ref="A26:C26"/>
    <mergeCell ref="A23:C23"/>
  </mergeCell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24.33203125" style="17" bestFit="1" customWidth="1"/>
    <col min="2" max="2" width="25.33203125" style="17" bestFit="1" customWidth="1"/>
    <col min="3" max="3" width="42.109375" style="17" bestFit="1" customWidth="1"/>
    <col min="4" max="4" width="159" style="17" bestFit="1" customWidth="1"/>
    <col min="5" max="5" width="18.88671875" style="17" bestFit="1" customWidth="1"/>
    <col min="6" max="6" width="14.44140625" style="17" bestFit="1" customWidth="1"/>
    <col min="7" max="7" width="18.33203125" style="17" bestFit="1" customWidth="1"/>
    <col min="8" max="16384" width="9.109375" style="17"/>
  </cols>
  <sheetData>
    <row r="1" spans="1:6" s="16" customFormat="1" ht="15.75" x14ac:dyDescent="0.25">
      <c r="A1" s="51" t="s">
        <v>2</v>
      </c>
      <c r="B1" s="51" t="s">
        <v>3</v>
      </c>
      <c r="C1" s="51" t="s">
        <v>8</v>
      </c>
      <c r="D1" s="2" t="s">
        <v>17</v>
      </c>
    </row>
    <row r="2" spans="1:6" s="16" customFormat="1" ht="15.75" x14ac:dyDescent="0.25">
      <c r="A2" s="51" t="s">
        <v>88</v>
      </c>
      <c r="B2" s="77"/>
      <c r="C2" s="77"/>
      <c r="D2" s="77"/>
    </row>
    <row r="3" spans="1:6" ht="15.75" x14ac:dyDescent="0.25">
      <c r="A3" s="52"/>
      <c r="B3" s="48" t="s">
        <v>23</v>
      </c>
      <c r="C3" s="48" t="s">
        <v>94</v>
      </c>
      <c r="D3" s="48" t="s">
        <v>83</v>
      </c>
    </row>
    <row r="4" spans="1:6" ht="15.75" x14ac:dyDescent="0.25">
      <c r="A4" s="51"/>
      <c r="B4" s="48" t="s">
        <v>24</v>
      </c>
      <c r="C4" s="48" t="s">
        <v>11</v>
      </c>
      <c r="D4" s="48" t="s">
        <v>84</v>
      </c>
    </row>
    <row r="5" spans="1:6" ht="15.75" x14ac:dyDescent="0.25">
      <c r="A5" s="51"/>
      <c r="B5" s="48" t="s">
        <v>25</v>
      </c>
      <c r="C5" s="48" t="s">
        <v>10</v>
      </c>
      <c r="D5" s="48" t="s">
        <v>85</v>
      </c>
    </row>
    <row r="6" spans="1:6" ht="15.75" x14ac:dyDescent="0.25">
      <c r="A6" s="51"/>
      <c r="B6" s="48" t="s">
        <v>26</v>
      </c>
      <c r="C6" s="48" t="s">
        <v>9</v>
      </c>
      <c r="D6" s="48" t="s">
        <v>86</v>
      </c>
    </row>
    <row r="7" spans="1:6" ht="15.75" x14ac:dyDescent="0.25">
      <c r="A7" s="51"/>
      <c r="B7" s="48" t="s">
        <v>27</v>
      </c>
      <c r="C7" s="48" t="s">
        <v>10</v>
      </c>
      <c r="D7" s="48" t="s">
        <v>87</v>
      </c>
    </row>
    <row r="8" spans="1:6" ht="15.75" x14ac:dyDescent="0.25">
      <c r="A8" s="53" t="s">
        <v>4</v>
      </c>
      <c r="B8" s="78"/>
      <c r="C8" s="78"/>
      <c r="D8" s="78"/>
      <c r="E8" s="18"/>
      <c r="F8" s="18"/>
    </row>
    <row r="9" spans="1:6" ht="15.75" x14ac:dyDescent="0.25">
      <c r="A9" s="53"/>
      <c r="B9" s="49" t="s">
        <v>28</v>
      </c>
      <c r="C9" s="49" t="s">
        <v>14</v>
      </c>
      <c r="D9" s="49" t="s">
        <v>73</v>
      </c>
    </row>
    <row r="10" spans="1:6" ht="15.75" x14ac:dyDescent="0.25">
      <c r="A10" s="53"/>
      <c r="B10" s="49" t="s">
        <v>29</v>
      </c>
      <c r="C10" s="49" t="s">
        <v>74</v>
      </c>
      <c r="D10" s="49" t="s">
        <v>75</v>
      </c>
    </row>
    <row r="11" spans="1:6" x14ac:dyDescent="0.3">
      <c r="A11" s="53"/>
      <c r="B11" s="49" t="s">
        <v>30</v>
      </c>
      <c r="C11" s="49" t="s">
        <v>76</v>
      </c>
      <c r="D11" s="49" t="s">
        <v>77</v>
      </c>
    </row>
    <row r="12" spans="1:6" ht="15.75" x14ac:dyDescent="0.25">
      <c r="A12" s="53"/>
      <c r="B12" s="49" t="s">
        <v>31</v>
      </c>
      <c r="C12" s="49" t="s">
        <v>14</v>
      </c>
      <c r="D12" s="49" t="s">
        <v>21</v>
      </c>
    </row>
    <row r="13" spans="1:6" ht="15.75" x14ac:dyDescent="0.25">
      <c r="A13" s="53"/>
      <c r="B13" s="49" t="s">
        <v>32</v>
      </c>
      <c r="C13" s="49" t="s">
        <v>14</v>
      </c>
      <c r="D13" s="49" t="s">
        <v>22</v>
      </c>
    </row>
    <row r="14" spans="1:6" ht="15.75" x14ac:dyDescent="0.25">
      <c r="A14" s="51" t="s">
        <v>89</v>
      </c>
      <c r="B14" s="77"/>
      <c r="C14" s="77"/>
      <c r="D14" s="77"/>
    </row>
    <row r="15" spans="1:6" ht="15.75" x14ac:dyDescent="0.25">
      <c r="A15" s="51"/>
      <c r="B15" s="48" t="s">
        <v>33</v>
      </c>
      <c r="C15" s="48" t="s">
        <v>11</v>
      </c>
      <c r="D15" s="48" t="s">
        <v>78</v>
      </c>
    </row>
    <row r="16" spans="1:6" ht="31.2" x14ac:dyDescent="0.3">
      <c r="A16" s="52"/>
      <c r="B16" s="48" t="s">
        <v>34</v>
      </c>
      <c r="C16" s="48" t="s">
        <v>95</v>
      </c>
      <c r="D16" s="50" t="s">
        <v>79</v>
      </c>
    </row>
    <row r="17" spans="1:4" ht="15.75" x14ac:dyDescent="0.25">
      <c r="A17" s="52"/>
      <c r="B17" s="48" t="s">
        <v>35</v>
      </c>
      <c r="C17" s="48" t="s">
        <v>11</v>
      </c>
      <c r="D17" s="48" t="s">
        <v>80</v>
      </c>
    </row>
    <row r="18" spans="1:4" ht="15.75" x14ac:dyDescent="0.25">
      <c r="A18" s="52"/>
      <c r="B18" s="48" t="s">
        <v>36</v>
      </c>
      <c r="C18" s="48" t="s">
        <v>94</v>
      </c>
      <c r="D18" s="48" t="s">
        <v>81</v>
      </c>
    </row>
    <row r="19" spans="1:4" x14ac:dyDescent="0.3">
      <c r="A19" s="52"/>
      <c r="B19" s="48" t="s">
        <v>37</v>
      </c>
      <c r="C19" s="48" t="s">
        <v>11</v>
      </c>
      <c r="D19" s="48" t="s">
        <v>82</v>
      </c>
    </row>
    <row r="21" spans="1:4" ht="15.75" x14ac:dyDescent="0.25">
      <c r="A21" s="19"/>
      <c r="B21" s="20"/>
      <c r="C21" s="20"/>
      <c r="D21" s="19"/>
    </row>
  </sheetData>
  <mergeCells count="3">
    <mergeCell ref="B2:D2"/>
    <mergeCell ref="B8:D8"/>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pane ySplit="1" topLeftCell="A2" activePane="bottomLeft" state="frozen"/>
      <selection pane="bottomLeft" activeCell="A2" sqref="A2"/>
    </sheetView>
  </sheetViews>
  <sheetFormatPr defaultColWidth="9.109375" defaultRowHeight="14.4" x14ac:dyDescent="0.3"/>
  <cols>
    <col min="1" max="1" width="9.5546875" style="24" bestFit="1" customWidth="1"/>
    <col min="2" max="2" width="9.44140625" style="24" bestFit="1" customWidth="1"/>
    <col min="3" max="3" width="12.5546875" style="24" bestFit="1" customWidth="1"/>
    <col min="4" max="4" width="12.109375" style="24" bestFit="1" customWidth="1"/>
    <col min="5" max="5" width="16.6640625" style="24" bestFit="1" customWidth="1"/>
    <col min="6" max="6" width="9.109375" style="24"/>
    <col min="7" max="7" width="9.44140625" style="24" bestFit="1" customWidth="1"/>
    <col min="8" max="8" width="9.5546875" style="24" bestFit="1" customWidth="1"/>
    <col min="9" max="9" width="12.5546875" style="24" bestFit="1" customWidth="1"/>
    <col min="10" max="10" width="12.109375" style="24" bestFit="1" customWidth="1"/>
    <col min="11" max="11" width="16.6640625" style="24" bestFit="1" customWidth="1"/>
    <col min="12" max="16384" width="9.109375" style="24"/>
  </cols>
  <sheetData>
    <row r="1" spans="1:11" s="22" customFormat="1" ht="15.75" x14ac:dyDescent="0.25">
      <c r="A1" s="25" t="s">
        <v>23</v>
      </c>
      <c r="B1" s="25" t="s">
        <v>24</v>
      </c>
      <c r="C1" s="25" t="s">
        <v>25</v>
      </c>
      <c r="D1" s="25" t="s">
        <v>26</v>
      </c>
      <c r="E1" s="25" t="s">
        <v>27</v>
      </c>
      <c r="F1" s="21"/>
      <c r="G1" s="25" t="s">
        <v>24</v>
      </c>
      <c r="H1" s="25" t="s">
        <v>23</v>
      </c>
      <c r="I1" s="25" t="s">
        <v>25</v>
      </c>
      <c r="J1" s="25" t="s">
        <v>26</v>
      </c>
      <c r="K1" s="25" t="s">
        <v>27</v>
      </c>
    </row>
    <row r="2" spans="1:11" ht="15" x14ac:dyDescent="0.25">
      <c r="A2" s="23">
        <v>1000</v>
      </c>
      <c r="B2" s="23">
        <v>0</v>
      </c>
      <c r="C2" s="23">
        <v>0</v>
      </c>
      <c r="D2" s="23">
        <v>0</v>
      </c>
      <c r="E2" s="23">
        <f>5500-C2</f>
        <v>5500</v>
      </c>
      <c r="F2" s="21"/>
      <c r="G2" s="21">
        <v>0</v>
      </c>
      <c r="H2" s="21">
        <v>1000</v>
      </c>
      <c r="I2" s="21">
        <v>0</v>
      </c>
      <c r="J2" s="21">
        <v>0</v>
      </c>
      <c r="K2" s="21">
        <f>5500-I2</f>
        <v>5500</v>
      </c>
    </row>
    <row r="3" spans="1:11" ht="15" x14ac:dyDescent="0.25">
      <c r="A3" s="23">
        <v>1001</v>
      </c>
      <c r="B3" s="23">
        <v>1000</v>
      </c>
      <c r="C3" s="23">
        <v>1500</v>
      </c>
      <c r="D3" s="23">
        <v>1</v>
      </c>
      <c r="E3" s="23">
        <f t="shared" ref="E3:E12" si="0">5500-C3</f>
        <v>4000</v>
      </c>
      <c r="F3" s="21"/>
      <c r="G3" s="21">
        <v>1000</v>
      </c>
      <c r="H3" s="21">
        <v>1001</v>
      </c>
      <c r="I3" s="21">
        <v>1500</v>
      </c>
      <c r="J3" s="21">
        <v>1</v>
      </c>
      <c r="K3" s="21">
        <f t="shared" ref="K3:K12" si="1">5500-I3</f>
        <v>4000</v>
      </c>
    </row>
    <row r="4" spans="1:11" ht="15" x14ac:dyDescent="0.25">
      <c r="A4" s="23">
        <v>1002</v>
      </c>
      <c r="B4" s="23">
        <v>3000</v>
      </c>
      <c r="C4" s="23">
        <v>2500</v>
      </c>
      <c r="D4" s="23">
        <v>2</v>
      </c>
      <c r="E4" s="23">
        <f t="shared" si="0"/>
        <v>3000</v>
      </c>
      <c r="F4" s="21"/>
      <c r="G4" s="21">
        <v>3000</v>
      </c>
      <c r="H4" s="21">
        <v>1002</v>
      </c>
      <c r="I4" s="21">
        <v>2500</v>
      </c>
      <c r="J4" s="21">
        <v>2</v>
      </c>
      <c r="K4" s="21">
        <f t="shared" si="1"/>
        <v>3000</v>
      </c>
    </row>
    <row r="5" spans="1:11" ht="15" x14ac:dyDescent="0.25">
      <c r="A5" s="23">
        <v>1003</v>
      </c>
      <c r="B5" s="23">
        <v>8500</v>
      </c>
      <c r="C5" s="23">
        <v>3000</v>
      </c>
      <c r="D5" s="23">
        <v>3</v>
      </c>
      <c r="E5" s="23">
        <f t="shared" si="0"/>
        <v>2500</v>
      </c>
      <c r="F5" s="21"/>
      <c r="G5" s="21">
        <v>8500</v>
      </c>
      <c r="H5" s="21">
        <v>1003</v>
      </c>
      <c r="I5" s="21">
        <v>3000</v>
      </c>
      <c r="J5" s="21">
        <v>3</v>
      </c>
      <c r="K5" s="21">
        <f t="shared" si="1"/>
        <v>2500</v>
      </c>
    </row>
    <row r="6" spans="1:11" ht="15" x14ac:dyDescent="0.25">
      <c r="A6" s="23">
        <v>1004</v>
      </c>
      <c r="B6" s="23">
        <v>12000</v>
      </c>
      <c r="C6" s="23">
        <v>3500</v>
      </c>
      <c r="D6" s="23">
        <v>4</v>
      </c>
      <c r="E6" s="23">
        <f t="shared" si="0"/>
        <v>2000</v>
      </c>
      <c r="F6" s="21"/>
      <c r="G6" s="21">
        <v>12000</v>
      </c>
      <c r="H6" s="21">
        <v>1004</v>
      </c>
      <c r="I6" s="21">
        <v>3500</v>
      </c>
      <c r="J6" s="21">
        <v>4</v>
      </c>
      <c r="K6" s="21">
        <f t="shared" si="1"/>
        <v>2000</v>
      </c>
    </row>
    <row r="7" spans="1:11" ht="15" x14ac:dyDescent="0.25">
      <c r="A7" s="23">
        <v>1005</v>
      </c>
      <c r="B7" s="23">
        <v>15500</v>
      </c>
      <c r="C7" s="23">
        <v>3800</v>
      </c>
      <c r="D7" s="23">
        <v>5</v>
      </c>
      <c r="E7" s="23">
        <f t="shared" si="0"/>
        <v>1700</v>
      </c>
      <c r="F7" s="21"/>
      <c r="G7" s="21">
        <v>15500</v>
      </c>
      <c r="H7" s="21">
        <v>1005</v>
      </c>
      <c r="I7" s="21">
        <v>3800</v>
      </c>
      <c r="J7" s="21">
        <v>5</v>
      </c>
      <c r="K7" s="21">
        <f t="shared" si="1"/>
        <v>1700</v>
      </c>
    </row>
    <row r="8" spans="1:11" ht="15" x14ac:dyDescent="0.25">
      <c r="A8" s="23">
        <v>1006</v>
      </c>
      <c r="B8" s="23">
        <v>19000</v>
      </c>
      <c r="C8" s="23">
        <v>4000</v>
      </c>
      <c r="D8" s="23">
        <v>6</v>
      </c>
      <c r="E8" s="23">
        <f t="shared" si="0"/>
        <v>1500</v>
      </c>
      <c r="F8" s="21"/>
      <c r="G8" s="21">
        <v>19000</v>
      </c>
      <c r="H8" s="21">
        <v>1006</v>
      </c>
      <c r="I8" s="21">
        <v>4000</v>
      </c>
      <c r="J8" s="21">
        <v>6</v>
      </c>
      <c r="K8" s="21">
        <f t="shared" si="1"/>
        <v>1500</v>
      </c>
    </row>
    <row r="9" spans="1:11" ht="15" x14ac:dyDescent="0.25">
      <c r="A9" s="23">
        <v>1007</v>
      </c>
      <c r="B9" s="23">
        <v>23500</v>
      </c>
      <c r="C9" s="23">
        <v>4500</v>
      </c>
      <c r="D9" s="23">
        <v>7</v>
      </c>
      <c r="E9" s="23">
        <f t="shared" si="0"/>
        <v>1000</v>
      </c>
      <c r="F9" s="21"/>
      <c r="G9" s="21">
        <v>23500</v>
      </c>
      <c r="H9" s="21">
        <v>1007</v>
      </c>
      <c r="I9" s="21">
        <v>4500</v>
      </c>
      <c r="J9" s="21">
        <v>7</v>
      </c>
      <c r="K9" s="21">
        <f t="shared" si="1"/>
        <v>1000</v>
      </c>
    </row>
    <row r="10" spans="1:11" ht="15" x14ac:dyDescent="0.25">
      <c r="A10" s="23">
        <v>1008</v>
      </c>
      <c r="B10" s="23">
        <v>28000</v>
      </c>
      <c r="C10" s="23">
        <v>5000</v>
      </c>
      <c r="D10" s="23">
        <v>8</v>
      </c>
      <c r="E10" s="23">
        <f t="shared" si="0"/>
        <v>500</v>
      </c>
      <c r="F10" s="21"/>
      <c r="G10" s="21">
        <v>28000</v>
      </c>
      <c r="H10" s="21">
        <v>1008</v>
      </c>
      <c r="I10" s="21">
        <v>5000</v>
      </c>
      <c r="J10" s="21">
        <v>8</v>
      </c>
      <c r="K10" s="21">
        <f t="shared" si="1"/>
        <v>500</v>
      </c>
    </row>
    <row r="11" spans="1:11" ht="15" x14ac:dyDescent="0.25">
      <c r="A11" s="23">
        <v>1009</v>
      </c>
      <c r="B11" s="23">
        <v>32500</v>
      </c>
      <c r="C11" s="23">
        <v>5300</v>
      </c>
      <c r="D11" s="23">
        <v>9</v>
      </c>
      <c r="E11" s="23">
        <f t="shared" si="0"/>
        <v>200</v>
      </c>
      <c r="F11" s="21"/>
      <c r="G11" s="21">
        <v>32500</v>
      </c>
      <c r="H11" s="21">
        <v>1009</v>
      </c>
      <c r="I11" s="21">
        <v>5300</v>
      </c>
      <c r="J11" s="21">
        <v>9</v>
      </c>
      <c r="K11" s="21">
        <f t="shared" si="1"/>
        <v>200</v>
      </c>
    </row>
    <row r="12" spans="1:11" ht="15" x14ac:dyDescent="0.25">
      <c r="A12" s="23">
        <v>1010</v>
      </c>
      <c r="B12" s="23">
        <v>35000</v>
      </c>
      <c r="C12" s="23">
        <v>5500</v>
      </c>
      <c r="D12" s="23">
        <v>10</v>
      </c>
      <c r="E12" s="23">
        <f t="shared" si="0"/>
        <v>0</v>
      </c>
      <c r="F12" s="21"/>
      <c r="G12" s="21">
        <v>35000</v>
      </c>
      <c r="H12" s="21">
        <v>1010</v>
      </c>
      <c r="I12" s="21">
        <v>5500</v>
      </c>
      <c r="J12" s="21">
        <v>10</v>
      </c>
      <c r="K12" s="21">
        <f t="shared" si="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8.109375" style="28" bestFit="1" customWidth="1"/>
    <col min="2" max="2" width="12.5546875" style="28" bestFit="1" customWidth="1"/>
    <col min="3" max="3" width="15.33203125" style="28" bestFit="1" customWidth="1"/>
    <col min="4" max="4" width="14.44140625" style="28" bestFit="1" customWidth="1"/>
    <col min="5" max="5" width="12.88671875" style="28" bestFit="1" customWidth="1"/>
    <col min="6" max="6" width="12" style="28" bestFit="1" customWidth="1"/>
    <col min="7" max="16384" width="9.109375" style="28"/>
  </cols>
  <sheetData>
    <row r="1" spans="1:6" s="69" customFormat="1" x14ac:dyDescent="0.25">
      <c r="A1" s="68" t="s">
        <v>0</v>
      </c>
      <c r="B1" s="69" t="s">
        <v>28</v>
      </c>
      <c r="C1" s="69" t="s">
        <v>29</v>
      </c>
      <c r="D1" s="69" t="s">
        <v>30</v>
      </c>
      <c r="E1" s="69" t="s">
        <v>31</v>
      </c>
      <c r="F1" s="69" t="s">
        <v>32</v>
      </c>
    </row>
    <row r="2" spans="1:6" x14ac:dyDescent="0.25">
      <c r="A2" s="26">
        <v>40299</v>
      </c>
      <c r="B2" s="27">
        <v>0.01</v>
      </c>
      <c r="C2" s="27">
        <v>65</v>
      </c>
      <c r="D2" s="27">
        <v>500</v>
      </c>
      <c r="E2" s="27">
        <f t="shared" ref="E2:E32" si="0">((0.014*C2)-0.5)*(D2*0.000673)</f>
        <v>0.13796500000000003</v>
      </c>
      <c r="F2" s="27">
        <f>IF(E2&gt;0,E2,0)</f>
        <v>0.13796500000000003</v>
      </c>
    </row>
    <row r="3" spans="1:6" x14ac:dyDescent="0.25">
      <c r="A3" s="26">
        <v>40300</v>
      </c>
      <c r="B3" s="27">
        <v>0</v>
      </c>
      <c r="C3" s="27">
        <v>65</v>
      </c>
      <c r="D3" s="27">
        <v>500</v>
      </c>
      <c r="E3" s="27">
        <f t="shared" si="0"/>
        <v>0.13796500000000003</v>
      </c>
      <c r="F3" s="27">
        <f t="shared" ref="F3:F32" si="1">IF(E3&gt;0,E3,0)</f>
        <v>0.13796500000000003</v>
      </c>
    </row>
    <row r="4" spans="1:6" x14ac:dyDescent="0.25">
      <c r="A4" s="26">
        <v>40301</v>
      </c>
      <c r="B4" s="27">
        <v>0.01</v>
      </c>
      <c r="C4" s="27">
        <v>65</v>
      </c>
      <c r="D4" s="27">
        <v>500</v>
      </c>
      <c r="E4" s="27">
        <f t="shared" si="0"/>
        <v>0.13796500000000003</v>
      </c>
      <c r="F4" s="27">
        <f t="shared" si="1"/>
        <v>0.13796500000000003</v>
      </c>
    </row>
    <row r="5" spans="1:6" x14ac:dyDescent="0.25">
      <c r="A5" s="26">
        <v>40302</v>
      </c>
      <c r="B5" s="27">
        <v>0</v>
      </c>
      <c r="C5" s="27">
        <v>65</v>
      </c>
      <c r="D5" s="27">
        <v>500</v>
      </c>
      <c r="E5" s="27">
        <f t="shared" si="0"/>
        <v>0.13796500000000003</v>
      </c>
      <c r="F5" s="27">
        <f t="shared" si="1"/>
        <v>0.13796500000000003</v>
      </c>
    </row>
    <row r="6" spans="1:6" x14ac:dyDescent="0.25">
      <c r="A6" s="26">
        <v>40303</v>
      </c>
      <c r="B6" s="27">
        <v>0.01</v>
      </c>
      <c r="C6" s="27">
        <v>65</v>
      </c>
      <c r="D6" s="27">
        <v>500</v>
      </c>
      <c r="E6" s="27">
        <f t="shared" si="0"/>
        <v>0.13796500000000003</v>
      </c>
      <c r="F6" s="27">
        <f t="shared" si="1"/>
        <v>0.13796500000000003</v>
      </c>
    </row>
    <row r="7" spans="1:6" x14ac:dyDescent="0.25">
      <c r="A7" s="26">
        <v>40304</v>
      </c>
      <c r="B7" s="27">
        <v>0</v>
      </c>
      <c r="C7" s="27">
        <v>65</v>
      </c>
      <c r="D7" s="27">
        <v>500</v>
      </c>
      <c r="E7" s="27">
        <f t="shared" si="0"/>
        <v>0.13796500000000003</v>
      </c>
      <c r="F7" s="27">
        <f t="shared" si="1"/>
        <v>0.13796500000000003</v>
      </c>
    </row>
    <row r="8" spans="1:6" x14ac:dyDescent="0.25">
      <c r="A8" s="26">
        <v>40305</v>
      </c>
      <c r="B8" s="27">
        <v>0.01</v>
      </c>
      <c r="C8" s="27">
        <v>65</v>
      </c>
      <c r="D8" s="27">
        <v>500</v>
      </c>
      <c r="E8" s="27">
        <f t="shared" si="0"/>
        <v>0.13796500000000003</v>
      </c>
      <c r="F8" s="27">
        <f t="shared" si="1"/>
        <v>0.13796500000000003</v>
      </c>
    </row>
    <row r="9" spans="1:6" x14ac:dyDescent="0.25">
      <c r="A9" s="26">
        <v>40306</v>
      </c>
      <c r="B9" s="27">
        <v>0</v>
      </c>
      <c r="C9" s="27">
        <v>65</v>
      </c>
      <c r="D9" s="27">
        <v>500</v>
      </c>
      <c r="E9" s="27">
        <f t="shared" si="0"/>
        <v>0.13796500000000003</v>
      </c>
      <c r="F9" s="27">
        <f t="shared" si="1"/>
        <v>0.13796500000000003</v>
      </c>
    </row>
    <row r="10" spans="1:6" x14ac:dyDescent="0.25">
      <c r="A10" s="26">
        <v>40307</v>
      </c>
      <c r="B10" s="27">
        <v>0.01</v>
      </c>
      <c r="C10" s="27">
        <v>65</v>
      </c>
      <c r="D10" s="27">
        <v>500</v>
      </c>
      <c r="E10" s="27">
        <f t="shared" si="0"/>
        <v>0.13796500000000003</v>
      </c>
      <c r="F10" s="27">
        <f t="shared" si="1"/>
        <v>0.13796500000000003</v>
      </c>
    </row>
    <row r="11" spans="1:6" x14ac:dyDescent="0.25">
      <c r="A11" s="26">
        <v>40308</v>
      </c>
      <c r="B11" s="27">
        <v>0</v>
      </c>
      <c r="C11" s="27">
        <v>65</v>
      </c>
      <c r="D11" s="27">
        <v>500</v>
      </c>
      <c r="E11" s="27">
        <f t="shared" si="0"/>
        <v>0.13796500000000003</v>
      </c>
      <c r="F11" s="27">
        <f t="shared" si="1"/>
        <v>0.13796500000000003</v>
      </c>
    </row>
    <row r="12" spans="1:6" x14ac:dyDescent="0.25">
      <c r="A12" s="26">
        <v>40309</v>
      </c>
      <c r="B12" s="27">
        <v>0.01</v>
      </c>
      <c r="C12" s="27">
        <v>65</v>
      </c>
      <c r="D12" s="27">
        <v>500</v>
      </c>
      <c r="E12" s="27">
        <f t="shared" si="0"/>
        <v>0.13796500000000003</v>
      </c>
      <c r="F12" s="27">
        <f t="shared" si="1"/>
        <v>0.13796500000000003</v>
      </c>
    </row>
    <row r="13" spans="1:6" x14ac:dyDescent="0.25">
      <c r="A13" s="26">
        <v>40310</v>
      </c>
      <c r="B13" s="27">
        <v>0</v>
      </c>
      <c r="C13" s="27">
        <v>65</v>
      </c>
      <c r="D13" s="27">
        <v>500</v>
      </c>
      <c r="E13" s="27">
        <f t="shared" si="0"/>
        <v>0.13796500000000003</v>
      </c>
      <c r="F13" s="27">
        <f t="shared" si="1"/>
        <v>0.13796500000000003</v>
      </c>
    </row>
    <row r="14" spans="1:6" x14ac:dyDescent="0.25">
      <c r="A14" s="26">
        <v>40311</v>
      </c>
      <c r="B14" s="27">
        <v>0.01</v>
      </c>
      <c r="C14" s="27">
        <v>65</v>
      </c>
      <c r="D14" s="27">
        <v>500</v>
      </c>
      <c r="E14" s="27">
        <f t="shared" si="0"/>
        <v>0.13796500000000003</v>
      </c>
      <c r="F14" s="27">
        <f t="shared" si="1"/>
        <v>0.13796500000000003</v>
      </c>
    </row>
    <row r="15" spans="1:6" x14ac:dyDescent="0.25">
      <c r="A15" s="26">
        <v>40312</v>
      </c>
      <c r="B15" s="27">
        <v>0</v>
      </c>
      <c r="C15" s="27">
        <v>65</v>
      </c>
      <c r="D15" s="27">
        <v>500</v>
      </c>
      <c r="E15" s="27">
        <f t="shared" si="0"/>
        <v>0.13796500000000003</v>
      </c>
      <c r="F15" s="27">
        <f t="shared" si="1"/>
        <v>0.13796500000000003</v>
      </c>
    </row>
    <row r="16" spans="1:6" x14ac:dyDescent="0.25">
      <c r="A16" s="26">
        <v>40313</v>
      </c>
      <c r="B16" s="27">
        <v>0.01</v>
      </c>
      <c r="C16" s="27">
        <v>65</v>
      </c>
      <c r="D16" s="27">
        <v>500</v>
      </c>
      <c r="E16" s="27">
        <f t="shared" si="0"/>
        <v>0.13796500000000003</v>
      </c>
      <c r="F16" s="27">
        <f t="shared" si="1"/>
        <v>0.13796500000000003</v>
      </c>
    </row>
    <row r="17" spans="1:6" x14ac:dyDescent="0.25">
      <c r="A17" s="26">
        <v>40314</v>
      </c>
      <c r="B17" s="27">
        <v>0</v>
      </c>
      <c r="C17" s="27">
        <v>65</v>
      </c>
      <c r="D17" s="27">
        <v>500</v>
      </c>
      <c r="E17" s="27">
        <f t="shared" si="0"/>
        <v>0.13796500000000003</v>
      </c>
      <c r="F17" s="27">
        <f t="shared" si="1"/>
        <v>0.13796500000000003</v>
      </c>
    </row>
    <row r="18" spans="1:6" x14ac:dyDescent="0.25">
      <c r="A18" s="26">
        <v>40315</v>
      </c>
      <c r="B18" s="27">
        <v>0.01</v>
      </c>
      <c r="C18" s="27">
        <v>65</v>
      </c>
      <c r="D18" s="27">
        <v>500</v>
      </c>
      <c r="E18" s="27">
        <f t="shared" si="0"/>
        <v>0.13796500000000003</v>
      </c>
      <c r="F18" s="27">
        <f t="shared" si="1"/>
        <v>0.13796500000000003</v>
      </c>
    </row>
    <row r="19" spans="1:6" x14ac:dyDescent="0.25">
      <c r="A19" s="26">
        <v>40316</v>
      </c>
      <c r="B19" s="27">
        <v>0</v>
      </c>
      <c r="C19" s="27">
        <v>65</v>
      </c>
      <c r="D19" s="27">
        <v>500</v>
      </c>
      <c r="E19" s="27">
        <f t="shared" si="0"/>
        <v>0.13796500000000003</v>
      </c>
      <c r="F19" s="27">
        <f t="shared" si="1"/>
        <v>0.13796500000000003</v>
      </c>
    </row>
    <row r="20" spans="1:6" x14ac:dyDescent="0.25">
      <c r="A20" s="26">
        <v>40317</v>
      </c>
      <c r="B20" s="27">
        <v>0.01</v>
      </c>
      <c r="C20" s="27">
        <v>65</v>
      </c>
      <c r="D20" s="27">
        <v>500</v>
      </c>
      <c r="E20" s="27">
        <f t="shared" si="0"/>
        <v>0.13796500000000003</v>
      </c>
      <c r="F20" s="27">
        <f t="shared" si="1"/>
        <v>0.13796500000000003</v>
      </c>
    </row>
    <row r="21" spans="1:6" x14ac:dyDescent="0.25">
      <c r="A21" s="26">
        <v>40318</v>
      </c>
      <c r="B21" s="27">
        <v>0</v>
      </c>
      <c r="C21" s="27">
        <v>65</v>
      </c>
      <c r="D21" s="27">
        <v>500</v>
      </c>
      <c r="E21" s="27">
        <f t="shared" si="0"/>
        <v>0.13796500000000003</v>
      </c>
      <c r="F21" s="27">
        <f t="shared" si="1"/>
        <v>0.13796500000000003</v>
      </c>
    </row>
    <row r="22" spans="1:6" x14ac:dyDescent="0.25">
      <c r="A22" s="26">
        <v>40319</v>
      </c>
      <c r="B22" s="27">
        <v>0.01</v>
      </c>
      <c r="C22" s="27">
        <v>65</v>
      </c>
      <c r="D22" s="27">
        <v>500</v>
      </c>
      <c r="E22" s="27">
        <f t="shared" si="0"/>
        <v>0.13796500000000003</v>
      </c>
      <c r="F22" s="27">
        <f t="shared" si="1"/>
        <v>0.13796500000000003</v>
      </c>
    </row>
    <row r="23" spans="1:6" x14ac:dyDescent="0.25">
      <c r="A23" s="26">
        <v>40320</v>
      </c>
      <c r="B23" s="27">
        <v>0</v>
      </c>
      <c r="C23" s="27">
        <v>65</v>
      </c>
      <c r="D23" s="27">
        <v>500</v>
      </c>
      <c r="E23" s="27">
        <f t="shared" si="0"/>
        <v>0.13796500000000003</v>
      </c>
      <c r="F23" s="27">
        <f t="shared" si="1"/>
        <v>0.13796500000000003</v>
      </c>
    </row>
    <row r="24" spans="1:6" x14ac:dyDescent="0.25">
      <c r="A24" s="26">
        <v>40321</v>
      </c>
      <c r="B24" s="27">
        <v>0.01</v>
      </c>
      <c r="C24" s="27">
        <v>65</v>
      </c>
      <c r="D24" s="27">
        <v>500</v>
      </c>
      <c r="E24" s="27">
        <f t="shared" si="0"/>
        <v>0.13796500000000003</v>
      </c>
      <c r="F24" s="27">
        <f t="shared" si="1"/>
        <v>0.13796500000000003</v>
      </c>
    </row>
    <row r="25" spans="1:6" x14ac:dyDescent="0.25">
      <c r="A25" s="26">
        <v>40322</v>
      </c>
      <c r="B25" s="27">
        <v>0</v>
      </c>
      <c r="C25" s="27">
        <v>65</v>
      </c>
      <c r="D25" s="27">
        <v>500</v>
      </c>
      <c r="E25" s="27">
        <f t="shared" si="0"/>
        <v>0.13796500000000003</v>
      </c>
      <c r="F25" s="27">
        <f t="shared" si="1"/>
        <v>0.13796500000000003</v>
      </c>
    </row>
    <row r="26" spans="1:6" x14ac:dyDescent="0.25">
      <c r="A26" s="26">
        <v>40323</v>
      </c>
      <c r="B26" s="27">
        <v>0.01</v>
      </c>
      <c r="C26" s="27">
        <v>65</v>
      </c>
      <c r="D26" s="27">
        <v>500</v>
      </c>
      <c r="E26" s="27">
        <f t="shared" si="0"/>
        <v>0.13796500000000003</v>
      </c>
      <c r="F26" s="27">
        <f t="shared" si="1"/>
        <v>0.13796500000000003</v>
      </c>
    </row>
    <row r="27" spans="1:6" x14ac:dyDescent="0.25">
      <c r="A27" s="26">
        <v>40324</v>
      </c>
      <c r="B27" s="27">
        <v>0</v>
      </c>
      <c r="C27" s="27">
        <v>65</v>
      </c>
      <c r="D27" s="27">
        <v>500</v>
      </c>
      <c r="E27" s="27">
        <f t="shared" si="0"/>
        <v>0.13796500000000003</v>
      </c>
      <c r="F27" s="27">
        <f t="shared" si="1"/>
        <v>0.13796500000000003</v>
      </c>
    </row>
    <row r="28" spans="1:6" x14ac:dyDescent="0.25">
      <c r="A28" s="26">
        <v>40325</v>
      </c>
      <c r="B28" s="27">
        <v>0.01</v>
      </c>
      <c r="C28" s="27">
        <v>65</v>
      </c>
      <c r="D28" s="27">
        <v>500</v>
      </c>
      <c r="E28" s="27">
        <f t="shared" si="0"/>
        <v>0.13796500000000003</v>
      </c>
      <c r="F28" s="27">
        <f t="shared" si="1"/>
        <v>0.13796500000000003</v>
      </c>
    </row>
    <row r="29" spans="1:6" x14ac:dyDescent="0.25">
      <c r="A29" s="26">
        <v>40326</v>
      </c>
      <c r="B29" s="27">
        <v>0</v>
      </c>
      <c r="C29" s="27">
        <v>65</v>
      </c>
      <c r="D29" s="27">
        <v>500</v>
      </c>
      <c r="E29" s="27">
        <f t="shared" si="0"/>
        <v>0.13796500000000003</v>
      </c>
      <c r="F29" s="27">
        <f t="shared" si="1"/>
        <v>0.13796500000000003</v>
      </c>
    </row>
    <row r="30" spans="1:6" x14ac:dyDescent="0.25">
      <c r="A30" s="26">
        <v>40327</v>
      </c>
      <c r="B30" s="27">
        <v>0.01</v>
      </c>
      <c r="C30" s="27">
        <v>65</v>
      </c>
      <c r="D30" s="27">
        <v>500</v>
      </c>
      <c r="E30" s="27">
        <f t="shared" si="0"/>
        <v>0.13796500000000003</v>
      </c>
      <c r="F30" s="27">
        <f t="shared" si="1"/>
        <v>0.13796500000000003</v>
      </c>
    </row>
    <row r="31" spans="1:6" x14ac:dyDescent="0.25">
      <c r="A31" s="26">
        <v>40328</v>
      </c>
      <c r="B31" s="27">
        <v>0</v>
      </c>
      <c r="C31" s="27">
        <v>65</v>
      </c>
      <c r="D31" s="27">
        <v>500</v>
      </c>
      <c r="E31" s="27">
        <f t="shared" si="0"/>
        <v>0.13796500000000003</v>
      </c>
      <c r="F31" s="27">
        <f t="shared" si="1"/>
        <v>0.13796500000000003</v>
      </c>
    </row>
    <row r="32" spans="1:6" x14ac:dyDescent="0.25">
      <c r="A32" s="26">
        <v>40329</v>
      </c>
      <c r="B32" s="27">
        <v>0.01</v>
      </c>
      <c r="C32" s="27">
        <v>65</v>
      </c>
      <c r="D32" s="27">
        <v>500</v>
      </c>
      <c r="E32" s="27">
        <f t="shared" si="0"/>
        <v>0.13796500000000003</v>
      </c>
      <c r="F32" s="27">
        <f t="shared" si="1"/>
        <v>0.13796500000000003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8" style="28" bestFit="1" customWidth="1"/>
    <col min="2" max="2" width="14" style="28" bestFit="1" customWidth="1"/>
    <col min="3" max="3" width="26.33203125" style="28" bestFit="1" customWidth="1"/>
    <col min="4" max="4" width="15.5546875" style="28" bestFit="1" customWidth="1"/>
    <col min="5" max="5" width="14.6640625" style="28" bestFit="1" customWidth="1"/>
    <col min="6" max="6" width="12.88671875" style="28" bestFit="1" customWidth="1"/>
    <col min="7" max="16384" width="9.109375" style="28"/>
  </cols>
  <sheetData>
    <row r="1" spans="1:6" s="17" customFormat="1" x14ac:dyDescent="0.25">
      <c r="A1" s="17" t="s">
        <v>0</v>
      </c>
      <c r="B1" s="54" t="s">
        <v>33</v>
      </c>
      <c r="C1" s="54" t="s">
        <v>34</v>
      </c>
      <c r="D1" s="54" t="s">
        <v>35</v>
      </c>
      <c r="E1" s="54" t="s">
        <v>36</v>
      </c>
      <c r="F1" s="54" t="s">
        <v>37</v>
      </c>
    </row>
    <row r="2" spans="1:6" x14ac:dyDescent="0.25">
      <c r="A2" s="29">
        <v>40299</v>
      </c>
      <c r="B2" s="28">
        <v>0</v>
      </c>
      <c r="C2" s="28">
        <v>1000</v>
      </c>
      <c r="D2" s="28">
        <v>0</v>
      </c>
      <c r="E2" s="28">
        <v>1010</v>
      </c>
      <c r="F2" s="30">
        <f>VLOOKUP(E2,bathymetry!$A$2:$E$12,2)</f>
        <v>35000</v>
      </c>
    </row>
    <row r="3" spans="1:6" x14ac:dyDescent="0.25">
      <c r="A3" s="29">
        <v>40300</v>
      </c>
      <c r="B3" s="28">
        <v>0</v>
      </c>
      <c r="C3" s="28">
        <v>1000</v>
      </c>
      <c r="D3" s="28">
        <v>0</v>
      </c>
      <c r="E3" s="28">
        <v>1010</v>
      </c>
      <c r="F3" s="30">
        <f>VLOOKUP(E3,bathymetry!$A$2:$E$12,2)</f>
        <v>35000</v>
      </c>
    </row>
    <row r="4" spans="1:6" x14ac:dyDescent="0.25">
      <c r="A4" s="29">
        <v>40301</v>
      </c>
      <c r="B4" s="28">
        <v>0</v>
      </c>
      <c r="C4" s="28">
        <v>1000</v>
      </c>
      <c r="D4" s="28">
        <v>0</v>
      </c>
      <c r="E4" s="28">
        <v>1010</v>
      </c>
      <c r="F4" s="30">
        <f>VLOOKUP(E4,bathymetry!$A$2:$E$12,2)</f>
        <v>35000</v>
      </c>
    </row>
    <row r="5" spans="1:6" x14ac:dyDescent="0.25">
      <c r="A5" s="29">
        <v>40302</v>
      </c>
      <c r="B5" s="28">
        <v>0</v>
      </c>
      <c r="C5" s="28">
        <v>1000</v>
      </c>
      <c r="D5" s="28">
        <v>0</v>
      </c>
      <c r="E5" s="28">
        <v>1010</v>
      </c>
      <c r="F5" s="30">
        <f>VLOOKUP(E5,bathymetry!$A$2:$E$12,2)</f>
        <v>35000</v>
      </c>
    </row>
    <row r="6" spans="1:6" x14ac:dyDescent="0.25">
      <c r="A6" s="29">
        <v>40303</v>
      </c>
      <c r="B6" s="28">
        <v>0</v>
      </c>
      <c r="C6" s="28">
        <v>1000</v>
      </c>
      <c r="D6" s="28">
        <v>0</v>
      </c>
      <c r="E6" s="28">
        <v>1010</v>
      </c>
      <c r="F6" s="30">
        <f>VLOOKUP(E6,bathymetry!$A$2:$E$12,2)</f>
        <v>35000</v>
      </c>
    </row>
    <row r="7" spans="1:6" x14ac:dyDescent="0.25">
      <c r="A7" s="29">
        <v>40304</v>
      </c>
      <c r="B7" s="28">
        <v>0</v>
      </c>
      <c r="C7" s="28">
        <v>1000</v>
      </c>
      <c r="D7" s="28">
        <v>0</v>
      </c>
      <c r="E7" s="28">
        <v>1010</v>
      </c>
      <c r="F7" s="30">
        <f>VLOOKUP(E7,bathymetry!$A$2:$E$12,2)</f>
        <v>35000</v>
      </c>
    </row>
    <row r="8" spans="1:6" x14ac:dyDescent="0.25">
      <c r="A8" s="29">
        <v>40305</v>
      </c>
      <c r="B8" s="28">
        <v>0</v>
      </c>
      <c r="C8" s="28">
        <v>1000</v>
      </c>
      <c r="D8" s="28">
        <v>0</v>
      </c>
      <c r="E8" s="28">
        <v>1010</v>
      </c>
      <c r="F8" s="30">
        <f>VLOOKUP(E8,bathymetry!$A$2:$E$12,2)</f>
        <v>35000</v>
      </c>
    </row>
    <row r="9" spans="1:6" x14ac:dyDescent="0.25">
      <c r="A9" s="29">
        <v>40306</v>
      </c>
      <c r="B9" s="28">
        <v>0</v>
      </c>
      <c r="C9" s="28">
        <v>1000</v>
      </c>
      <c r="D9" s="28">
        <v>0</v>
      </c>
      <c r="E9" s="28">
        <v>1010</v>
      </c>
      <c r="F9" s="30">
        <f>VLOOKUP(E9,bathymetry!$A$2:$E$12,2)</f>
        <v>35000</v>
      </c>
    </row>
    <row r="10" spans="1:6" x14ac:dyDescent="0.25">
      <c r="A10" s="29">
        <v>40307</v>
      </c>
      <c r="B10" s="28">
        <v>0</v>
      </c>
      <c r="C10" s="28">
        <v>1000</v>
      </c>
      <c r="D10" s="28">
        <v>0</v>
      </c>
      <c r="E10" s="28">
        <v>1010</v>
      </c>
      <c r="F10" s="30">
        <f>VLOOKUP(E10,bathymetry!$A$2:$E$12,2)</f>
        <v>35000</v>
      </c>
    </row>
    <row r="11" spans="1:6" x14ac:dyDescent="0.25">
      <c r="A11" s="29">
        <v>40308</v>
      </c>
      <c r="B11" s="28">
        <v>0</v>
      </c>
      <c r="C11" s="28">
        <v>1000</v>
      </c>
      <c r="D11" s="28">
        <v>0</v>
      </c>
      <c r="E11" s="28">
        <v>1010</v>
      </c>
      <c r="F11" s="30">
        <f>VLOOKUP(E11,bathymetry!$A$2:$E$12,2)</f>
        <v>35000</v>
      </c>
    </row>
    <row r="12" spans="1:6" x14ac:dyDescent="0.25">
      <c r="A12" s="29">
        <v>40309</v>
      </c>
      <c r="B12" s="28">
        <v>0</v>
      </c>
      <c r="C12" s="28">
        <v>1000</v>
      </c>
      <c r="D12" s="28">
        <v>0</v>
      </c>
      <c r="E12" s="28">
        <v>1010</v>
      </c>
      <c r="F12" s="30">
        <f>VLOOKUP(E12,bathymetry!$A$2:$E$12,2)</f>
        <v>35000</v>
      </c>
    </row>
    <row r="13" spans="1:6" x14ac:dyDescent="0.25">
      <c r="A13" s="29">
        <v>40310</v>
      </c>
      <c r="B13" s="28">
        <v>0</v>
      </c>
      <c r="C13" s="28">
        <v>1000</v>
      </c>
      <c r="D13" s="28">
        <v>0</v>
      </c>
      <c r="E13" s="28">
        <v>1010</v>
      </c>
      <c r="F13" s="30">
        <f>VLOOKUP(E13,bathymetry!$A$2:$E$12,2)</f>
        <v>35000</v>
      </c>
    </row>
    <row r="14" spans="1:6" x14ac:dyDescent="0.25">
      <c r="A14" s="29">
        <v>40311</v>
      </c>
      <c r="B14" s="28">
        <v>0</v>
      </c>
      <c r="C14" s="28">
        <v>1000</v>
      </c>
      <c r="D14" s="28">
        <v>0</v>
      </c>
      <c r="E14" s="28">
        <v>1010</v>
      </c>
      <c r="F14" s="30">
        <f>VLOOKUP(E14,bathymetry!$A$2:$E$12,2)</f>
        <v>35000</v>
      </c>
    </row>
    <row r="15" spans="1:6" x14ac:dyDescent="0.25">
      <c r="A15" s="29">
        <v>40312</v>
      </c>
      <c r="B15" s="28">
        <v>0</v>
      </c>
      <c r="C15" s="28">
        <v>1000</v>
      </c>
      <c r="D15" s="28">
        <v>0</v>
      </c>
      <c r="E15" s="28">
        <v>1010</v>
      </c>
      <c r="F15" s="30">
        <f>VLOOKUP(E15,bathymetry!$A$2:$E$12,2)</f>
        <v>35000</v>
      </c>
    </row>
    <row r="16" spans="1:6" x14ac:dyDescent="0.25">
      <c r="A16" s="29">
        <v>40313</v>
      </c>
      <c r="B16" s="28">
        <v>0</v>
      </c>
      <c r="C16" s="28">
        <v>1000</v>
      </c>
      <c r="D16" s="28">
        <v>0</v>
      </c>
      <c r="E16" s="28">
        <v>1010</v>
      </c>
      <c r="F16" s="30">
        <f>VLOOKUP(E16,bathymetry!$A$2:$E$12,2)</f>
        <v>35000</v>
      </c>
    </row>
    <row r="17" spans="1:6" x14ac:dyDescent="0.25">
      <c r="A17" s="29">
        <v>40314</v>
      </c>
      <c r="B17" s="28">
        <v>0</v>
      </c>
      <c r="C17" s="28">
        <v>1000</v>
      </c>
      <c r="D17" s="28">
        <v>0</v>
      </c>
      <c r="E17" s="28">
        <v>1010</v>
      </c>
      <c r="F17" s="30">
        <f>VLOOKUP(E17,bathymetry!$A$2:$E$12,2)</f>
        <v>35000</v>
      </c>
    </row>
    <row r="18" spans="1:6" x14ac:dyDescent="0.25">
      <c r="A18" s="29">
        <v>40315</v>
      </c>
      <c r="B18" s="28">
        <v>0</v>
      </c>
      <c r="C18" s="28">
        <v>1000</v>
      </c>
      <c r="D18" s="28">
        <v>0</v>
      </c>
      <c r="E18" s="28">
        <v>1010</v>
      </c>
      <c r="F18" s="30">
        <f>VLOOKUP(E18,bathymetry!$A$2:$E$12,2)</f>
        <v>35000</v>
      </c>
    </row>
    <row r="19" spans="1:6" x14ac:dyDescent="0.25">
      <c r="A19" s="29">
        <v>40316</v>
      </c>
      <c r="B19" s="28">
        <v>0</v>
      </c>
      <c r="C19" s="28">
        <v>1000</v>
      </c>
      <c r="D19" s="28">
        <v>0</v>
      </c>
      <c r="E19" s="28">
        <v>1010</v>
      </c>
      <c r="F19" s="30">
        <f>VLOOKUP(E19,bathymetry!$A$2:$E$12,2)</f>
        <v>35000</v>
      </c>
    </row>
    <row r="20" spans="1:6" x14ac:dyDescent="0.25">
      <c r="A20" s="29">
        <v>40317</v>
      </c>
      <c r="B20" s="28">
        <v>0</v>
      </c>
      <c r="C20" s="28">
        <v>1000</v>
      </c>
      <c r="D20" s="28">
        <v>0</v>
      </c>
      <c r="E20" s="28">
        <v>1010</v>
      </c>
      <c r="F20" s="30">
        <f>VLOOKUP(E20,bathymetry!$A$2:$E$12,2)</f>
        <v>35000</v>
      </c>
    </row>
    <row r="21" spans="1:6" x14ac:dyDescent="0.25">
      <c r="A21" s="29">
        <v>40318</v>
      </c>
      <c r="B21" s="28">
        <v>0</v>
      </c>
      <c r="C21" s="28">
        <v>1000</v>
      </c>
      <c r="D21" s="28">
        <v>0</v>
      </c>
      <c r="E21" s="28">
        <v>1010</v>
      </c>
      <c r="F21" s="30">
        <f>VLOOKUP(E21,bathymetry!$A$2:$E$12,2)</f>
        <v>35000</v>
      </c>
    </row>
    <row r="22" spans="1:6" x14ac:dyDescent="0.25">
      <c r="A22" s="29">
        <v>40319</v>
      </c>
      <c r="B22" s="28">
        <v>0</v>
      </c>
      <c r="C22" s="28">
        <v>1000</v>
      </c>
      <c r="D22" s="28">
        <v>0</v>
      </c>
      <c r="E22" s="28">
        <v>1010</v>
      </c>
      <c r="F22" s="30">
        <f>VLOOKUP(E22,bathymetry!$A$2:$E$12,2)</f>
        <v>35000</v>
      </c>
    </row>
    <row r="23" spans="1:6" x14ac:dyDescent="0.25">
      <c r="A23" s="29">
        <v>40320</v>
      </c>
      <c r="B23" s="28">
        <v>0</v>
      </c>
      <c r="C23" s="28">
        <v>1000</v>
      </c>
      <c r="D23" s="28">
        <v>0</v>
      </c>
      <c r="E23" s="28">
        <v>1010</v>
      </c>
      <c r="F23" s="30">
        <f>VLOOKUP(E23,bathymetry!$A$2:$E$12,2)</f>
        <v>35000</v>
      </c>
    </row>
    <row r="24" spans="1:6" x14ac:dyDescent="0.25">
      <c r="A24" s="29">
        <v>40321</v>
      </c>
      <c r="B24" s="28">
        <v>0</v>
      </c>
      <c r="C24" s="28">
        <v>1000</v>
      </c>
      <c r="D24" s="28">
        <v>0</v>
      </c>
      <c r="E24" s="28">
        <v>1010</v>
      </c>
      <c r="F24" s="30">
        <f>VLOOKUP(E24,bathymetry!$A$2:$E$12,2)</f>
        <v>35000</v>
      </c>
    </row>
    <row r="25" spans="1:6" x14ac:dyDescent="0.25">
      <c r="A25" s="29">
        <v>40322</v>
      </c>
      <c r="B25" s="28">
        <v>0</v>
      </c>
      <c r="C25" s="28">
        <v>1000</v>
      </c>
      <c r="D25" s="28">
        <v>0</v>
      </c>
      <c r="E25" s="28">
        <v>1010</v>
      </c>
      <c r="F25" s="30">
        <f>VLOOKUP(E25,bathymetry!$A$2:$E$12,2)</f>
        <v>35000</v>
      </c>
    </row>
    <row r="26" spans="1:6" x14ac:dyDescent="0.25">
      <c r="A26" s="29">
        <v>40323</v>
      </c>
      <c r="B26" s="28">
        <v>0</v>
      </c>
      <c r="C26" s="28">
        <v>1000</v>
      </c>
      <c r="D26" s="28">
        <v>0</v>
      </c>
      <c r="E26" s="28">
        <v>1010</v>
      </c>
      <c r="F26" s="30">
        <f>VLOOKUP(E26,bathymetry!$A$2:$E$12,2)</f>
        <v>35000</v>
      </c>
    </row>
    <row r="27" spans="1:6" x14ac:dyDescent="0.25">
      <c r="A27" s="29">
        <v>40324</v>
      </c>
      <c r="B27" s="28">
        <v>0</v>
      </c>
      <c r="C27" s="28">
        <v>1000</v>
      </c>
      <c r="D27" s="28">
        <v>0</v>
      </c>
      <c r="E27" s="28">
        <v>1010</v>
      </c>
      <c r="F27" s="30">
        <f>VLOOKUP(E27,bathymetry!$A$2:$E$12,2)</f>
        <v>35000</v>
      </c>
    </row>
    <row r="28" spans="1:6" x14ac:dyDescent="0.25">
      <c r="A28" s="29">
        <v>40325</v>
      </c>
      <c r="B28" s="28">
        <v>0</v>
      </c>
      <c r="C28" s="28">
        <v>1000</v>
      </c>
      <c r="D28" s="28">
        <v>0</v>
      </c>
      <c r="E28" s="28">
        <v>1010</v>
      </c>
      <c r="F28" s="30">
        <f>VLOOKUP(E28,bathymetry!$A$2:$E$12,2)</f>
        <v>35000</v>
      </c>
    </row>
    <row r="29" spans="1:6" x14ac:dyDescent="0.25">
      <c r="A29" s="29">
        <v>40326</v>
      </c>
      <c r="B29" s="28">
        <v>0</v>
      </c>
      <c r="C29" s="28">
        <v>1000</v>
      </c>
      <c r="D29" s="28">
        <v>0</v>
      </c>
      <c r="E29" s="28">
        <v>1010</v>
      </c>
      <c r="F29" s="30">
        <f>VLOOKUP(E29,bathymetry!$A$2:$E$12,2)</f>
        <v>35000</v>
      </c>
    </row>
    <row r="30" spans="1:6" x14ac:dyDescent="0.25">
      <c r="A30" s="29">
        <v>40327</v>
      </c>
      <c r="B30" s="28">
        <v>0</v>
      </c>
      <c r="C30" s="28">
        <v>1000</v>
      </c>
      <c r="D30" s="28">
        <v>0</v>
      </c>
      <c r="E30" s="28">
        <v>1010</v>
      </c>
      <c r="F30" s="30">
        <f>VLOOKUP(E30,bathymetry!$A$2:$E$12,2)</f>
        <v>35000</v>
      </c>
    </row>
    <row r="31" spans="1:6" x14ac:dyDescent="0.25">
      <c r="A31" s="29">
        <v>40328</v>
      </c>
      <c r="B31" s="28">
        <v>0</v>
      </c>
      <c r="C31" s="28">
        <v>1000</v>
      </c>
      <c r="D31" s="28">
        <v>0</v>
      </c>
      <c r="E31" s="28">
        <v>1010</v>
      </c>
      <c r="F31" s="30">
        <f>VLOOKUP(E31,bathymetry!$A$2:$E$12,2)</f>
        <v>35000</v>
      </c>
    </row>
    <row r="32" spans="1:6" x14ac:dyDescent="0.25">
      <c r="A32" s="29">
        <v>40329</v>
      </c>
      <c r="B32" s="28">
        <v>0</v>
      </c>
      <c r="C32" s="28">
        <v>1000</v>
      </c>
      <c r="D32" s="28">
        <v>0</v>
      </c>
      <c r="E32" s="28">
        <v>1010</v>
      </c>
      <c r="F32" s="30">
        <f>VLOOKUP(E32,bathymetry!$A$2:$E$12,2)</f>
        <v>35000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21.44140625" style="28" bestFit="1" customWidth="1"/>
    <col min="2" max="2" width="14.88671875" style="28" bestFit="1" customWidth="1"/>
    <col min="3" max="16384" width="9.109375" style="28"/>
  </cols>
  <sheetData>
    <row r="1" spans="1:5" x14ac:dyDescent="0.25">
      <c r="A1" s="46"/>
      <c r="B1" s="46" t="s">
        <v>1</v>
      </c>
    </row>
    <row r="2" spans="1:5" x14ac:dyDescent="0.25">
      <c r="A2" s="28" t="s">
        <v>54</v>
      </c>
      <c r="B2" s="72">
        <v>5000</v>
      </c>
    </row>
    <row r="3" spans="1:5" x14ac:dyDescent="0.25">
      <c r="A3" s="28" t="s">
        <v>52</v>
      </c>
      <c r="B3" s="73">
        <f>0.319*B2^1.1</f>
        <v>3738.1582939894038</v>
      </c>
    </row>
    <row r="4" spans="1:5" x14ac:dyDescent="0.25">
      <c r="A4" s="28" t="s">
        <v>53</v>
      </c>
      <c r="B4" s="74">
        <v>1005</v>
      </c>
    </row>
    <row r="10" spans="1:5" x14ac:dyDescent="0.25">
      <c r="E10"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Normal="100" workbookViewId="0">
      <pane ySplit="1" topLeftCell="A2" activePane="bottomLeft" state="frozen"/>
      <selection pane="bottomLeft" activeCell="A2" sqref="A2"/>
    </sheetView>
  </sheetViews>
  <sheetFormatPr defaultColWidth="9.109375" defaultRowHeight="15.6" x14ac:dyDescent="0.3"/>
  <cols>
    <col min="1" max="1" width="8.5546875" style="28" bestFit="1" customWidth="1"/>
    <col min="2" max="2" width="21.44140625" style="28" bestFit="1" customWidth="1"/>
    <col min="3" max="3" width="6.88671875" style="28" bestFit="1" customWidth="1"/>
    <col min="4" max="4" width="16.109375" style="28" bestFit="1" customWidth="1"/>
    <col min="5" max="5" width="13.44140625" style="28" bestFit="1" customWidth="1"/>
    <col min="6" max="6" width="11" style="28" bestFit="1" customWidth="1"/>
    <col min="7" max="7" width="10.44140625" style="28" bestFit="1" customWidth="1"/>
    <col min="8" max="8" width="14.5546875" style="28" bestFit="1" customWidth="1"/>
    <col min="9" max="9" width="13.33203125" style="28" bestFit="1" customWidth="1"/>
    <col min="10" max="10" width="17.33203125" style="28" bestFit="1" customWidth="1"/>
    <col min="11" max="11" width="20.109375" style="28" bestFit="1" customWidth="1"/>
    <col min="12" max="12" width="14.44140625" style="28" bestFit="1" customWidth="1"/>
    <col min="13" max="13" width="27.6640625" style="28" bestFit="1" customWidth="1"/>
    <col min="14" max="14" width="16.5546875" style="28" bestFit="1" customWidth="1"/>
    <col min="15" max="15" width="13.5546875" style="28" bestFit="1" customWidth="1"/>
    <col min="16" max="16" width="19.109375" style="28" bestFit="1" customWidth="1"/>
    <col min="17" max="17" width="19.44140625" style="28" customWidth="1"/>
    <col min="18" max="18" width="16" style="28" bestFit="1" customWidth="1"/>
    <col min="19" max="19" width="13.88671875" style="28" bestFit="1" customWidth="1"/>
    <col min="20" max="20" width="18.44140625" style="28" bestFit="1" customWidth="1"/>
    <col min="21" max="16384" width="9.109375" style="28"/>
  </cols>
  <sheetData>
    <row r="1" spans="1:20" s="71" customFormat="1" x14ac:dyDescent="0.25">
      <c r="A1" s="71" t="s">
        <v>0</v>
      </c>
      <c r="B1" s="70" t="s">
        <v>38</v>
      </c>
      <c r="C1" s="70" t="s">
        <v>39</v>
      </c>
      <c r="D1" s="70" t="s">
        <v>40</v>
      </c>
      <c r="E1" s="70" t="s">
        <v>25</v>
      </c>
      <c r="F1" s="70" t="s">
        <v>41</v>
      </c>
      <c r="G1" s="70" t="s">
        <v>50</v>
      </c>
      <c r="H1" s="70" t="s">
        <v>42</v>
      </c>
      <c r="I1" s="70" t="s">
        <v>43</v>
      </c>
      <c r="J1" s="70" t="s">
        <v>44</v>
      </c>
      <c r="K1" s="70" t="s">
        <v>45</v>
      </c>
      <c r="L1" s="70" t="s">
        <v>33</v>
      </c>
      <c r="M1" s="70" t="s">
        <v>34</v>
      </c>
      <c r="N1" s="70" t="s">
        <v>46</v>
      </c>
      <c r="O1" s="70" t="s">
        <v>28</v>
      </c>
      <c r="P1" s="70" t="s">
        <v>51</v>
      </c>
      <c r="Q1" s="70" t="s">
        <v>47</v>
      </c>
      <c r="R1" s="70" t="s">
        <v>35</v>
      </c>
      <c r="S1" s="70" t="s">
        <v>48</v>
      </c>
      <c r="T1" s="70" t="s">
        <v>49</v>
      </c>
    </row>
    <row r="2" spans="1:20" s="31" customFormat="1" x14ac:dyDescent="0.25">
      <c r="A2" s="32">
        <v>40299</v>
      </c>
      <c r="B2" s="33">
        <f>'starting values'!B2</f>
        <v>5000</v>
      </c>
      <c r="C2" s="30">
        <f>VLOOKUP(H2,bathymetry!$A$2:$E$12,4)</f>
        <v>5</v>
      </c>
      <c r="D2" s="30">
        <f>VLOOKUP(H2,bathymetry!$A$2:$E$12,5)</f>
        <v>1700</v>
      </c>
      <c r="E2" s="30">
        <f>VLOOKUP(H2,bathymetry!$A$2:$E$12,3)</f>
        <v>3800</v>
      </c>
      <c r="F2" s="34">
        <f>'starting values'!B3</f>
        <v>3738.1582939894038</v>
      </c>
      <c r="G2" s="35">
        <f>(1233000*F2)*J2</f>
        <v>71441812235578.484</v>
      </c>
      <c r="H2" s="36">
        <f>'starting values'!B4</f>
        <v>1005</v>
      </c>
      <c r="I2" s="37">
        <f>IF(J2&gt;'flows and management'!F2,'flows and management'!F2,J2)</f>
        <v>15500</v>
      </c>
      <c r="J2" s="30">
        <f>VLOOKUP(H2,bathymetry!$A$2:$E$12,2)</f>
        <v>15500</v>
      </c>
      <c r="K2" s="38">
        <f>L2+((O2/12)*E2)</f>
        <v>3.166666666666667</v>
      </c>
      <c r="L2" s="39">
        <f>'flows and management'!B2</f>
        <v>0</v>
      </c>
      <c r="M2" s="39">
        <f>'flows and management'!C2</f>
        <v>1000</v>
      </c>
      <c r="N2" s="40">
        <f>((0.319*M2^1.1)*1233000)*L2</f>
        <v>0</v>
      </c>
      <c r="O2" s="39">
        <f>climate!B2</f>
        <v>0.01</v>
      </c>
      <c r="P2" s="38">
        <f>(Q2*E2)+R2</f>
        <v>43.688916666666678</v>
      </c>
      <c r="Q2" s="41">
        <f>climate!F2/12</f>
        <v>1.1497083333333337E-2</v>
      </c>
      <c r="R2" s="39">
        <f>'flows and management'!D2</f>
        <v>0</v>
      </c>
      <c r="S2" s="42">
        <f>IF(J2&gt;'flows and management'!F2,J2-'flows and management'!F2,0)</f>
        <v>0</v>
      </c>
      <c r="T2" s="43">
        <f>((0.319*'starting values'!B2^1.1)*1233000)*(R2+S2)</f>
        <v>0</v>
      </c>
    </row>
    <row r="3" spans="1:20" s="31" customFormat="1" x14ac:dyDescent="0.25">
      <c r="A3" s="32">
        <v>40300</v>
      </c>
      <c r="B3" s="44">
        <f>3.16*F3^0.898</f>
        <v>5117.2248227774508</v>
      </c>
      <c r="C3" s="30">
        <f>VLOOKUP(I3,bathymetry!$G$2:$K$12,4)</f>
        <v>4</v>
      </c>
      <c r="D3" s="30">
        <f>VLOOKUP(I3,bathymetry!$G$2:$K$12,5)</f>
        <v>2000</v>
      </c>
      <c r="E3" s="30">
        <f>VLOOKUP(I3,bathymetry!$G$2:$K$12,3)</f>
        <v>3500</v>
      </c>
      <c r="F3" s="45">
        <f>G3/I3/1233000</f>
        <v>3748.7245982849358</v>
      </c>
      <c r="G3" s="35">
        <f>G2+(N3-T3)</f>
        <v>71441812235578.484</v>
      </c>
      <c r="H3" s="30">
        <f>VLOOKUP(I3,bathymetry!$G$2:$K$12,2)</f>
        <v>1004</v>
      </c>
      <c r="I3" s="37">
        <f>IF(J3&gt;'flows and management'!F3,'flows and management'!F3,J3)</f>
        <v>15456.311083333334</v>
      </c>
      <c r="J3" s="38">
        <f>I2+(K3-P3)</f>
        <v>15456.311083333334</v>
      </c>
      <c r="K3" s="38">
        <f>L3+((O3/12)*E2)</f>
        <v>0</v>
      </c>
      <c r="L3" s="39">
        <f>'flows and management'!B3</f>
        <v>0</v>
      </c>
      <c r="M3" s="39">
        <f>'flows and management'!C3</f>
        <v>1000</v>
      </c>
      <c r="N3" s="40">
        <f t="shared" ref="N3" si="0">((0.319*M3^1.1)*1233000)*L3</f>
        <v>0</v>
      </c>
      <c r="O3" s="39">
        <f>climate!B3</f>
        <v>0</v>
      </c>
      <c r="P3" s="38">
        <f>(Q3*E2)+R3</f>
        <v>43.688916666666678</v>
      </c>
      <c r="Q3" s="41">
        <f>climate!F3/12</f>
        <v>1.1497083333333337E-2</v>
      </c>
      <c r="R3" s="39">
        <f>'flows and management'!D3</f>
        <v>0</v>
      </c>
      <c r="S3" s="42">
        <f>IF(J3&gt;'flows and management'!F3,J3-'flows and management'!F3,0)</f>
        <v>0</v>
      </c>
      <c r="T3" s="43">
        <f>((0.319*B2^1.1)*1233000)*(R3+S3)</f>
        <v>0</v>
      </c>
    </row>
    <row r="4" spans="1:20" x14ac:dyDescent="0.25">
      <c r="A4" s="32">
        <v>40301</v>
      </c>
      <c r="B4" s="44">
        <f t="shared" ref="B4:B32" si="1">3.16*F4^0.898</f>
        <v>5128.3467332572945</v>
      </c>
      <c r="C4" s="30">
        <f>VLOOKUP(I4,bathymetry!$G$2:$K$12,4)</f>
        <v>4</v>
      </c>
      <c r="D4" s="30">
        <f>VLOOKUP(I4,bathymetry!$G$2:$K$12,5)</f>
        <v>2000</v>
      </c>
      <c r="E4" s="30">
        <f>VLOOKUP(I4,bathymetry!$G$2:$K$12,3)</f>
        <v>3500</v>
      </c>
      <c r="F4" s="45">
        <f t="shared" ref="F4:F32" si="2">G4/I4/1233000</f>
        <v>3757.7987422657507</v>
      </c>
      <c r="G4" s="35">
        <f t="shared" ref="G4:G32" si="3">G3+(N4-T4)</f>
        <v>71441812235578.484</v>
      </c>
      <c r="H4" s="30">
        <f>VLOOKUP(I4,bathymetry!$G$2:$K$12,2)</f>
        <v>1004</v>
      </c>
      <c r="I4" s="37">
        <f>IF(J4&gt;'flows and management'!F4,'flows and management'!F4,J4)</f>
        <v>15418.987958333333</v>
      </c>
      <c r="J4" s="38">
        <f t="shared" ref="J4:J32" si="4">I3+(K4-P4)</f>
        <v>15418.987958333333</v>
      </c>
      <c r="K4" s="38">
        <f t="shared" ref="K4:K32" si="5">L4+((O4/12)*E3)</f>
        <v>2.916666666666667</v>
      </c>
      <c r="L4" s="39">
        <f>'flows and management'!B4</f>
        <v>0</v>
      </c>
      <c r="M4" s="39">
        <f>'flows and management'!C4</f>
        <v>1000</v>
      </c>
      <c r="N4" s="40">
        <f t="shared" ref="N4:N32" si="6">((0.319*M4^1.1)*1233000)*L4</f>
        <v>0</v>
      </c>
      <c r="O4" s="39">
        <f>climate!B4</f>
        <v>0.01</v>
      </c>
      <c r="P4" s="38">
        <f t="shared" ref="P4:P32" si="7">(Q4*E3)+R4</f>
        <v>40.239791666666676</v>
      </c>
      <c r="Q4" s="41">
        <f>climate!F4/12</f>
        <v>1.1497083333333337E-2</v>
      </c>
      <c r="R4" s="39">
        <f>'flows and management'!D4</f>
        <v>0</v>
      </c>
      <c r="S4" s="42">
        <f>IF(J4&gt;'flows and management'!F4,J4-'flows and management'!F4,0)</f>
        <v>0</v>
      </c>
      <c r="T4" s="43">
        <f t="shared" ref="T4:T32" si="8">((0.319*B3^1.1)*1233000)*(R4+S4)</f>
        <v>0</v>
      </c>
    </row>
    <row r="5" spans="1:20" x14ac:dyDescent="0.25">
      <c r="A5" s="32">
        <v>40302</v>
      </c>
      <c r="B5" s="44">
        <f t="shared" si="1"/>
        <v>5140.3951658606802</v>
      </c>
      <c r="C5" s="30">
        <f>VLOOKUP(I5,bathymetry!$G$2:$K$12,4)</f>
        <v>4</v>
      </c>
      <c r="D5" s="30">
        <f>VLOOKUP(I5,bathymetry!$G$2:$K$12,5)</f>
        <v>2000</v>
      </c>
      <c r="E5" s="30">
        <f>VLOOKUP(I5,bathymetry!$G$2:$K$12,3)</f>
        <v>3500</v>
      </c>
      <c r="F5" s="45">
        <f t="shared" si="2"/>
        <v>3767.631339618622</v>
      </c>
      <c r="G5" s="35">
        <f t="shared" si="3"/>
        <v>71441812235578.484</v>
      </c>
      <c r="H5" s="30">
        <f>VLOOKUP(I5,bathymetry!$G$2:$K$12,2)</f>
        <v>1004</v>
      </c>
      <c r="I5" s="37">
        <f>IF(J5&gt;'flows and management'!F5,'flows and management'!F5,J5)</f>
        <v>15378.748166666666</v>
      </c>
      <c r="J5" s="38">
        <f t="shared" si="4"/>
        <v>15378.748166666666</v>
      </c>
      <c r="K5" s="38">
        <f t="shared" si="5"/>
        <v>0</v>
      </c>
      <c r="L5" s="39">
        <f>'flows and management'!B5</f>
        <v>0</v>
      </c>
      <c r="M5" s="39">
        <f>'flows and management'!C5</f>
        <v>1000</v>
      </c>
      <c r="N5" s="40">
        <f t="shared" si="6"/>
        <v>0</v>
      </c>
      <c r="O5" s="39">
        <f>climate!B5</f>
        <v>0</v>
      </c>
      <c r="P5" s="38">
        <f t="shared" si="7"/>
        <v>40.239791666666676</v>
      </c>
      <c r="Q5" s="41">
        <f>climate!F5/12</f>
        <v>1.1497083333333337E-2</v>
      </c>
      <c r="R5" s="39">
        <f>'flows and management'!D5</f>
        <v>0</v>
      </c>
      <c r="S5" s="42">
        <f>IF(J5&gt;'flows and management'!F5,J5-'flows and management'!F5,0)</f>
        <v>0</v>
      </c>
      <c r="T5" s="43">
        <f t="shared" si="8"/>
        <v>0</v>
      </c>
    </row>
    <row r="6" spans="1:20" x14ac:dyDescent="0.25">
      <c r="A6" s="32">
        <v>40303</v>
      </c>
      <c r="B6" s="44">
        <f t="shared" si="1"/>
        <v>5151.6239129452761</v>
      </c>
      <c r="C6" s="30">
        <f>VLOOKUP(I6,bathymetry!$G$2:$K$12,4)</f>
        <v>4</v>
      </c>
      <c r="D6" s="30">
        <f>VLOOKUP(I6,bathymetry!$G$2:$K$12,5)</f>
        <v>2000</v>
      </c>
      <c r="E6" s="30">
        <f>VLOOKUP(I6,bathymetry!$G$2:$K$12,3)</f>
        <v>3500</v>
      </c>
      <c r="F6" s="45">
        <f t="shared" si="2"/>
        <v>3776.7973574468606</v>
      </c>
      <c r="G6" s="35">
        <f t="shared" si="3"/>
        <v>71441812235578.484</v>
      </c>
      <c r="H6" s="30">
        <f>VLOOKUP(I6,bathymetry!$G$2:$K$12,2)</f>
        <v>1004</v>
      </c>
      <c r="I6" s="37">
        <f>IF(J6&gt;'flows and management'!F6,'flows and management'!F6,J6)</f>
        <v>15341.425041666665</v>
      </c>
      <c r="J6" s="38">
        <f t="shared" si="4"/>
        <v>15341.425041666665</v>
      </c>
      <c r="K6" s="38">
        <f t="shared" si="5"/>
        <v>2.916666666666667</v>
      </c>
      <c r="L6" s="39">
        <f>'flows and management'!B6</f>
        <v>0</v>
      </c>
      <c r="M6" s="39">
        <f>'flows and management'!C6</f>
        <v>1000</v>
      </c>
      <c r="N6" s="40">
        <f t="shared" si="6"/>
        <v>0</v>
      </c>
      <c r="O6" s="39">
        <f>climate!B6</f>
        <v>0.01</v>
      </c>
      <c r="P6" s="38">
        <f t="shared" si="7"/>
        <v>40.239791666666676</v>
      </c>
      <c r="Q6" s="41">
        <f>climate!F6/12</f>
        <v>1.1497083333333337E-2</v>
      </c>
      <c r="R6" s="39">
        <f>'flows and management'!D6</f>
        <v>0</v>
      </c>
      <c r="S6" s="42">
        <f>IF(J6&gt;'flows and management'!F6,J6-'flows and management'!F6,0)</f>
        <v>0</v>
      </c>
      <c r="T6" s="43">
        <f t="shared" si="8"/>
        <v>0</v>
      </c>
    </row>
    <row r="7" spans="1:20" x14ac:dyDescent="0.25">
      <c r="A7" s="32">
        <v>40304</v>
      </c>
      <c r="B7" s="44">
        <f t="shared" si="1"/>
        <v>5163.7883759320985</v>
      </c>
      <c r="C7" s="30">
        <f>VLOOKUP(I7,bathymetry!$G$2:$K$12,4)</f>
        <v>4</v>
      </c>
      <c r="D7" s="30">
        <f>VLOOKUP(I7,bathymetry!$G$2:$K$12,5)</f>
        <v>2000</v>
      </c>
      <c r="E7" s="30">
        <f>VLOOKUP(I7,bathymetry!$G$2:$K$12,3)</f>
        <v>3500</v>
      </c>
      <c r="F7" s="45">
        <f t="shared" si="2"/>
        <v>3786.72976048282</v>
      </c>
      <c r="G7" s="35">
        <f t="shared" si="3"/>
        <v>71441812235578.484</v>
      </c>
      <c r="H7" s="30">
        <f>VLOOKUP(I7,bathymetry!$G$2:$K$12,2)</f>
        <v>1004</v>
      </c>
      <c r="I7" s="37">
        <f>IF(J7&gt;'flows and management'!F7,'flows and management'!F7,J7)</f>
        <v>15301.185249999999</v>
      </c>
      <c r="J7" s="38">
        <f t="shared" si="4"/>
        <v>15301.185249999999</v>
      </c>
      <c r="K7" s="38">
        <f t="shared" si="5"/>
        <v>0</v>
      </c>
      <c r="L7" s="39">
        <f>'flows and management'!B7</f>
        <v>0</v>
      </c>
      <c r="M7" s="39">
        <f>'flows and management'!C7</f>
        <v>1000</v>
      </c>
      <c r="N7" s="40">
        <f t="shared" si="6"/>
        <v>0</v>
      </c>
      <c r="O7" s="39">
        <f>climate!B7</f>
        <v>0</v>
      </c>
      <c r="P7" s="38">
        <f t="shared" si="7"/>
        <v>40.239791666666676</v>
      </c>
      <c r="Q7" s="41">
        <f>climate!F7/12</f>
        <v>1.1497083333333337E-2</v>
      </c>
      <c r="R7" s="39">
        <f>'flows and management'!D7</f>
        <v>0</v>
      </c>
      <c r="S7" s="42">
        <f>IF(J7&gt;'flows and management'!F7,J7-'flows and management'!F7,0)</f>
        <v>0</v>
      </c>
      <c r="T7" s="43">
        <f t="shared" si="8"/>
        <v>0</v>
      </c>
    </row>
    <row r="8" spans="1:20" x14ac:dyDescent="0.25">
      <c r="A8" s="32">
        <v>40305</v>
      </c>
      <c r="B8" s="44">
        <f t="shared" si="1"/>
        <v>5175.1255345682612</v>
      </c>
      <c r="C8" s="30">
        <f>VLOOKUP(I8,bathymetry!$G$2:$K$12,4)</f>
        <v>4</v>
      </c>
      <c r="D8" s="30">
        <f>VLOOKUP(I8,bathymetry!$G$2:$K$12,5)</f>
        <v>2000</v>
      </c>
      <c r="E8" s="30">
        <f>VLOOKUP(I8,bathymetry!$G$2:$K$12,3)</f>
        <v>3500</v>
      </c>
      <c r="F8" s="45">
        <f t="shared" si="2"/>
        <v>3795.9890545614953</v>
      </c>
      <c r="G8" s="35">
        <f t="shared" si="3"/>
        <v>71441812235578.484</v>
      </c>
      <c r="H8" s="30">
        <f>VLOOKUP(I8,bathymetry!$G$2:$K$12,2)</f>
        <v>1004</v>
      </c>
      <c r="I8" s="37">
        <f>IF(J8&gt;'flows and management'!F8,'flows and management'!F8,J8)</f>
        <v>15263.862124999998</v>
      </c>
      <c r="J8" s="38">
        <f t="shared" si="4"/>
        <v>15263.862124999998</v>
      </c>
      <c r="K8" s="38">
        <f t="shared" si="5"/>
        <v>2.916666666666667</v>
      </c>
      <c r="L8" s="39">
        <f>'flows and management'!B8</f>
        <v>0</v>
      </c>
      <c r="M8" s="39">
        <f>'flows and management'!C8</f>
        <v>1000</v>
      </c>
      <c r="N8" s="40">
        <f t="shared" si="6"/>
        <v>0</v>
      </c>
      <c r="O8" s="39">
        <f>climate!B8</f>
        <v>0.01</v>
      </c>
      <c r="P8" s="38">
        <f t="shared" si="7"/>
        <v>40.239791666666676</v>
      </c>
      <c r="Q8" s="41">
        <f>climate!F8/12</f>
        <v>1.1497083333333337E-2</v>
      </c>
      <c r="R8" s="39">
        <f>'flows and management'!D8</f>
        <v>0</v>
      </c>
      <c r="S8" s="42">
        <f>IF(J8&gt;'flows and management'!F8,J8-'flows and management'!F8,0)</f>
        <v>0</v>
      </c>
      <c r="T8" s="43">
        <f t="shared" si="8"/>
        <v>0</v>
      </c>
    </row>
    <row r="9" spans="1:20" x14ac:dyDescent="0.25">
      <c r="A9" s="32">
        <v>40306</v>
      </c>
      <c r="B9" s="44">
        <f t="shared" si="1"/>
        <v>5187.4077427788061</v>
      </c>
      <c r="C9" s="30">
        <f>VLOOKUP(I9,bathymetry!$G$2:$K$12,4)</f>
        <v>4</v>
      </c>
      <c r="D9" s="30">
        <f>VLOOKUP(I9,bathymetry!$G$2:$K$12,5)</f>
        <v>2000</v>
      </c>
      <c r="E9" s="30">
        <f>VLOOKUP(I9,bathymetry!$G$2:$K$12,3)</f>
        <v>3500</v>
      </c>
      <c r="F9" s="45">
        <f t="shared" si="2"/>
        <v>3806.0227906447949</v>
      </c>
      <c r="G9" s="35">
        <f t="shared" si="3"/>
        <v>71441812235578.484</v>
      </c>
      <c r="H9" s="30">
        <f>VLOOKUP(I9,bathymetry!$G$2:$K$12,2)</f>
        <v>1004</v>
      </c>
      <c r="I9" s="37">
        <f>IF(J9&gt;'flows and management'!F9,'flows and management'!F9,J9)</f>
        <v>15223.622333333331</v>
      </c>
      <c r="J9" s="38">
        <f t="shared" si="4"/>
        <v>15223.622333333331</v>
      </c>
      <c r="K9" s="38">
        <f t="shared" si="5"/>
        <v>0</v>
      </c>
      <c r="L9" s="39">
        <f>'flows and management'!B9</f>
        <v>0</v>
      </c>
      <c r="M9" s="39">
        <f>'flows and management'!C9</f>
        <v>1000</v>
      </c>
      <c r="N9" s="40">
        <f t="shared" si="6"/>
        <v>0</v>
      </c>
      <c r="O9" s="39">
        <f>climate!B9</f>
        <v>0</v>
      </c>
      <c r="P9" s="38">
        <f t="shared" si="7"/>
        <v>40.239791666666676</v>
      </c>
      <c r="Q9" s="41">
        <f>climate!F9/12</f>
        <v>1.1497083333333337E-2</v>
      </c>
      <c r="R9" s="39">
        <f>'flows and management'!D9</f>
        <v>0</v>
      </c>
      <c r="S9" s="42">
        <f>IF(J9&gt;'flows and management'!F9,J9-'flows and management'!F9,0)</f>
        <v>0</v>
      </c>
      <c r="T9" s="43">
        <f t="shared" si="8"/>
        <v>0</v>
      </c>
    </row>
    <row r="10" spans="1:20" x14ac:dyDescent="0.25">
      <c r="A10" s="32">
        <v>40307</v>
      </c>
      <c r="B10" s="44">
        <f t="shared" si="1"/>
        <v>5198.8549193017861</v>
      </c>
      <c r="C10" s="30">
        <f>VLOOKUP(I10,bathymetry!$G$2:$K$12,4)</f>
        <v>4</v>
      </c>
      <c r="D10" s="30">
        <f>VLOOKUP(I10,bathymetry!$G$2:$K$12,5)</f>
        <v>2000</v>
      </c>
      <c r="E10" s="30">
        <f>VLOOKUP(I10,bathymetry!$G$2:$K$12,3)</f>
        <v>3500</v>
      </c>
      <c r="F10" s="45">
        <f t="shared" si="2"/>
        <v>3815.3767920653745</v>
      </c>
      <c r="G10" s="35">
        <f t="shared" si="3"/>
        <v>71441812235578.484</v>
      </c>
      <c r="H10" s="30">
        <f>VLOOKUP(I10,bathymetry!$G$2:$K$12,2)</f>
        <v>1004</v>
      </c>
      <c r="I10" s="37">
        <f>IF(J10&gt;'flows and management'!F10,'flows and management'!F10,J10)</f>
        <v>15186.29920833333</v>
      </c>
      <c r="J10" s="38">
        <f t="shared" si="4"/>
        <v>15186.29920833333</v>
      </c>
      <c r="K10" s="38">
        <f t="shared" si="5"/>
        <v>2.916666666666667</v>
      </c>
      <c r="L10" s="39">
        <f>'flows and management'!B10</f>
        <v>0</v>
      </c>
      <c r="M10" s="39">
        <f>'flows and management'!C10</f>
        <v>1000</v>
      </c>
      <c r="N10" s="40">
        <f t="shared" si="6"/>
        <v>0</v>
      </c>
      <c r="O10" s="39">
        <f>climate!B10</f>
        <v>0.01</v>
      </c>
      <c r="P10" s="38">
        <f t="shared" si="7"/>
        <v>40.239791666666676</v>
      </c>
      <c r="Q10" s="41">
        <f>climate!F10/12</f>
        <v>1.1497083333333337E-2</v>
      </c>
      <c r="R10" s="39">
        <f>'flows and management'!D10</f>
        <v>0</v>
      </c>
      <c r="S10" s="42">
        <f>IF(J10&gt;'flows and management'!F10,J10-'flows and management'!F10,0)</f>
        <v>0</v>
      </c>
      <c r="T10" s="43">
        <f t="shared" si="8"/>
        <v>0</v>
      </c>
    </row>
    <row r="11" spans="1:20" x14ac:dyDescent="0.25">
      <c r="A11" s="32">
        <v>40308</v>
      </c>
      <c r="B11" s="44">
        <f t="shared" si="1"/>
        <v>5211.2566218403963</v>
      </c>
      <c r="C11" s="30">
        <f>VLOOKUP(I11,bathymetry!$G$2:$K$12,4)</f>
        <v>4</v>
      </c>
      <c r="D11" s="30">
        <f>VLOOKUP(I11,bathymetry!$G$2:$K$12,5)</f>
        <v>2000</v>
      </c>
      <c r="E11" s="30">
        <f>VLOOKUP(I11,bathymetry!$G$2:$K$12,3)</f>
        <v>3500</v>
      </c>
      <c r="F11" s="45">
        <f t="shared" si="2"/>
        <v>3825.5134198851224</v>
      </c>
      <c r="G11" s="35">
        <f t="shared" si="3"/>
        <v>71441812235578.484</v>
      </c>
      <c r="H11" s="30">
        <f>VLOOKUP(I11,bathymetry!$G$2:$K$12,2)</f>
        <v>1004</v>
      </c>
      <c r="I11" s="37">
        <f>IF(J11&gt;'flows and management'!F11,'flows and management'!F11,J11)</f>
        <v>15146.059416666663</v>
      </c>
      <c r="J11" s="38">
        <f t="shared" si="4"/>
        <v>15146.059416666663</v>
      </c>
      <c r="K11" s="38">
        <f t="shared" si="5"/>
        <v>0</v>
      </c>
      <c r="L11" s="39">
        <f>'flows and management'!B11</f>
        <v>0</v>
      </c>
      <c r="M11" s="39">
        <f>'flows and management'!C11</f>
        <v>1000</v>
      </c>
      <c r="N11" s="40">
        <f t="shared" si="6"/>
        <v>0</v>
      </c>
      <c r="O11" s="39">
        <f>climate!B11</f>
        <v>0</v>
      </c>
      <c r="P11" s="38">
        <f t="shared" si="7"/>
        <v>40.239791666666676</v>
      </c>
      <c r="Q11" s="41">
        <f>climate!F11/12</f>
        <v>1.1497083333333337E-2</v>
      </c>
      <c r="R11" s="39">
        <f>'flows and management'!D11</f>
        <v>0</v>
      </c>
      <c r="S11" s="42">
        <f>IF(J11&gt;'flows and management'!F11,J11-'flows and management'!F11,0)</f>
        <v>0</v>
      </c>
      <c r="T11" s="43">
        <f t="shared" si="8"/>
        <v>0</v>
      </c>
    </row>
    <row r="12" spans="1:20" x14ac:dyDescent="0.25">
      <c r="A12" s="32">
        <v>40309</v>
      </c>
      <c r="B12" s="44">
        <f t="shared" si="1"/>
        <v>5222.8154547639178</v>
      </c>
      <c r="C12" s="30">
        <f>VLOOKUP(I12,bathymetry!$G$2:$K$12,4)</f>
        <v>4</v>
      </c>
      <c r="D12" s="30">
        <f>VLOOKUP(I12,bathymetry!$G$2:$K$12,5)</f>
        <v>2000</v>
      </c>
      <c r="E12" s="30">
        <f>VLOOKUP(I12,bathymetry!$G$2:$K$12,3)</f>
        <v>3500</v>
      </c>
      <c r="F12" s="45">
        <f t="shared" si="2"/>
        <v>3834.9635891648863</v>
      </c>
      <c r="G12" s="35">
        <f t="shared" si="3"/>
        <v>71441812235578.484</v>
      </c>
      <c r="H12" s="30">
        <f>VLOOKUP(I12,bathymetry!$G$2:$K$12,2)</f>
        <v>1004</v>
      </c>
      <c r="I12" s="37">
        <f>IF(J12&gt;'flows and management'!F12,'flows and management'!F12,J12)</f>
        <v>15108.736291666663</v>
      </c>
      <c r="J12" s="38">
        <f t="shared" si="4"/>
        <v>15108.736291666663</v>
      </c>
      <c r="K12" s="38">
        <f t="shared" si="5"/>
        <v>2.916666666666667</v>
      </c>
      <c r="L12" s="39">
        <f>'flows and management'!B12</f>
        <v>0</v>
      </c>
      <c r="M12" s="39">
        <f>'flows and management'!C12</f>
        <v>1000</v>
      </c>
      <c r="N12" s="40">
        <f t="shared" si="6"/>
        <v>0</v>
      </c>
      <c r="O12" s="39">
        <f>climate!B12</f>
        <v>0.01</v>
      </c>
      <c r="P12" s="38">
        <f t="shared" si="7"/>
        <v>40.239791666666676</v>
      </c>
      <c r="Q12" s="41">
        <f>climate!F12/12</f>
        <v>1.1497083333333337E-2</v>
      </c>
      <c r="R12" s="39">
        <f>'flows and management'!D12</f>
        <v>0</v>
      </c>
      <c r="S12" s="42">
        <f>IF(J12&gt;'flows and management'!F12,J12-'flows and management'!F12,0)</f>
        <v>0</v>
      </c>
      <c r="T12" s="43">
        <f t="shared" si="8"/>
        <v>0</v>
      </c>
    </row>
    <row r="13" spans="1:20" x14ac:dyDescent="0.25">
      <c r="A13" s="32">
        <v>40310</v>
      </c>
      <c r="B13" s="44">
        <f t="shared" si="1"/>
        <v>5235.3384358637149</v>
      </c>
      <c r="C13" s="30">
        <f>VLOOKUP(I13,bathymetry!$G$2:$K$12,4)</f>
        <v>4</v>
      </c>
      <c r="D13" s="30">
        <f>VLOOKUP(I13,bathymetry!$G$2:$K$12,5)</f>
        <v>2000</v>
      </c>
      <c r="E13" s="30">
        <f>VLOOKUP(I13,bathymetry!$G$2:$K$12,3)</f>
        <v>3500</v>
      </c>
      <c r="F13" s="45">
        <f t="shared" si="2"/>
        <v>3845.2046995422384</v>
      </c>
      <c r="G13" s="35">
        <f t="shared" si="3"/>
        <v>71441812235578.484</v>
      </c>
      <c r="H13" s="30">
        <f>VLOOKUP(I13,bathymetry!$G$2:$K$12,2)</f>
        <v>1004</v>
      </c>
      <c r="I13" s="37">
        <f>IF(J13&gt;'flows and management'!F13,'flows and management'!F13,J13)</f>
        <v>15068.496499999996</v>
      </c>
      <c r="J13" s="38">
        <f t="shared" si="4"/>
        <v>15068.496499999996</v>
      </c>
      <c r="K13" s="38">
        <f t="shared" si="5"/>
        <v>0</v>
      </c>
      <c r="L13" s="39">
        <f>'flows and management'!B13</f>
        <v>0</v>
      </c>
      <c r="M13" s="39">
        <f>'flows and management'!C13</f>
        <v>1000</v>
      </c>
      <c r="N13" s="40">
        <f t="shared" si="6"/>
        <v>0</v>
      </c>
      <c r="O13" s="39">
        <f>climate!B13</f>
        <v>0</v>
      </c>
      <c r="P13" s="38">
        <f t="shared" si="7"/>
        <v>40.239791666666676</v>
      </c>
      <c r="Q13" s="41">
        <f>climate!F13/12</f>
        <v>1.1497083333333337E-2</v>
      </c>
      <c r="R13" s="39">
        <f>'flows and management'!D13</f>
        <v>0</v>
      </c>
      <c r="S13" s="42">
        <f>IF(J13&gt;'flows and management'!F13,J13-'flows and management'!F13,0)</f>
        <v>0</v>
      </c>
      <c r="T13" s="43">
        <f t="shared" si="8"/>
        <v>0</v>
      </c>
    </row>
    <row r="14" spans="1:20" x14ac:dyDescent="0.25">
      <c r="A14" s="32">
        <v>40311</v>
      </c>
      <c r="B14" s="44">
        <f t="shared" si="1"/>
        <v>5247.0105966941874</v>
      </c>
      <c r="C14" s="30">
        <f>VLOOKUP(I14,bathymetry!$G$2:$K$12,4)</f>
        <v>4</v>
      </c>
      <c r="D14" s="30">
        <f>VLOOKUP(I14,bathymetry!$G$2:$K$12,5)</f>
        <v>2000</v>
      </c>
      <c r="E14" s="30">
        <f>VLOOKUP(I14,bathymetry!$G$2:$K$12,3)</f>
        <v>3500</v>
      </c>
      <c r="F14" s="45">
        <f t="shared" si="2"/>
        <v>3854.7525273844944</v>
      </c>
      <c r="G14" s="35">
        <f t="shared" si="3"/>
        <v>71441812235578.484</v>
      </c>
      <c r="H14" s="30">
        <f>VLOOKUP(I14,bathymetry!$G$2:$K$12,2)</f>
        <v>1004</v>
      </c>
      <c r="I14" s="37">
        <f>IF(J14&gt;'flows and management'!F14,'flows and management'!F14,J14)</f>
        <v>15031.173374999995</v>
      </c>
      <c r="J14" s="38">
        <f t="shared" si="4"/>
        <v>15031.173374999995</v>
      </c>
      <c r="K14" s="38">
        <f t="shared" si="5"/>
        <v>2.916666666666667</v>
      </c>
      <c r="L14" s="39">
        <f>'flows and management'!B14</f>
        <v>0</v>
      </c>
      <c r="M14" s="39">
        <f>'flows and management'!C14</f>
        <v>1000</v>
      </c>
      <c r="N14" s="40">
        <f t="shared" si="6"/>
        <v>0</v>
      </c>
      <c r="O14" s="39">
        <f>climate!B14</f>
        <v>0.01</v>
      </c>
      <c r="P14" s="38">
        <f t="shared" si="7"/>
        <v>40.239791666666676</v>
      </c>
      <c r="Q14" s="41">
        <f>climate!F14/12</f>
        <v>1.1497083333333337E-2</v>
      </c>
      <c r="R14" s="39">
        <f>'flows and management'!D14</f>
        <v>0</v>
      </c>
      <c r="S14" s="42">
        <f>IF(J14&gt;'flows and management'!F14,J14-'flows and management'!F14,0)</f>
        <v>0</v>
      </c>
      <c r="T14" s="43">
        <f t="shared" si="8"/>
        <v>0</v>
      </c>
    </row>
    <row r="15" spans="1:20" x14ac:dyDescent="0.25">
      <c r="A15" s="32">
        <v>40312</v>
      </c>
      <c r="B15" s="44">
        <f t="shared" si="1"/>
        <v>5259.6566766081414</v>
      </c>
      <c r="C15" s="30">
        <f>VLOOKUP(I15,bathymetry!$G$2:$K$12,4)</f>
        <v>4</v>
      </c>
      <c r="D15" s="30">
        <f>VLOOKUP(I15,bathymetry!$G$2:$K$12,5)</f>
        <v>2000</v>
      </c>
      <c r="E15" s="30">
        <f>VLOOKUP(I15,bathymetry!$G$2:$K$12,3)</f>
        <v>3500</v>
      </c>
      <c r="F15" s="45">
        <f t="shared" si="2"/>
        <v>3865.0997441049367</v>
      </c>
      <c r="G15" s="35">
        <f t="shared" si="3"/>
        <v>71441812235578.484</v>
      </c>
      <c r="H15" s="30">
        <f>VLOOKUP(I15,bathymetry!$G$2:$K$12,2)</f>
        <v>1004</v>
      </c>
      <c r="I15" s="37">
        <f>IF(J15&gt;'flows and management'!F15,'flows and management'!F15,J15)</f>
        <v>14990.933583333328</v>
      </c>
      <c r="J15" s="38">
        <f t="shared" si="4"/>
        <v>14990.933583333328</v>
      </c>
      <c r="K15" s="38">
        <f t="shared" si="5"/>
        <v>0</v>
      </c>
      <c r="L15" s="39">
        <f>'flows and management'!B15</f>
        <v>0</v>
      </c>
      <c r="M15" s="39">
        <f>'flows and management'!C15</f>
        <v>1000</v>
      </c>
      <c r="N15" s="40">
        <f t="shared" si="6"/>
        <v>0</v>
      </c>
      <c r="O15" s="39">
        <f>climate!B15</f>
        <v>0</v>
      </c>
      <c r="P15" s="38">
        <f t="shared" si="7"/>
        <v>40.239791666666676</v>
      </c>
      <c r="Q15" s="41">
        <f>climate!F15/12</f>
        <v>1.1497083333333337E-2</v>
      </c>
      <c r="R15" s="39">
        <f>'flows and management'!D15</f>
        <v>0</v>
      </c>
      <c r="S15" s="42">
        <f>IF(J15&gt;'flows and management'!F15,J15-'flows and management'!F15,0)</f>
        <v>0</v>
      </c>
      <c r="T15" s="43">
        <f t="shared" si="8"/>
        <v>0</v>
      </c>
    </row>
    <row r="16" spans="1:20" x14ac:dyDescent="0.25">
      <c r="A16" s="32">
        <v>40313</v>
      </c>
      <c r="B16" s="44">
        <f t="shared" si="1"/>
        <v>5271.4438706837327</v>
      </c>
      <c r="C16" s="30">
        <f>VLOOKUP(I16,bathymetry!$G$2:$K$12,4)</f>
        <v>4</v>
      </c>
      <c r="D16" s="30">
        <f>VLOOKUP(I16,bathymetry!$G$2:$K$12,5)</f>
        <v>2000</v>
      </c>
      <c r="E16" s="30">
        <f>VLOOKUP(I16,bathymetry!$G$2:$K$12,3)</f>
        <v>3500</v>
      </c>
      <c r="F16" s="45">
        <f t="shared" si="2"/>
        <v>3874.7467521829294</v>
      </c>
      <c r="G16" s="35">
        <f t="shared" si="3"/>
        <v>71441812235578.484</v>
      </c>
      <c r="H16" s="30">
        <f>VLOOKUP(I16,bathymetry!$G$2:$K$12,2)</f>
        <v>1004</v>
      </c>
      <c r="I16" s="37">
        <f>IF(J16&gt;'flows and management'!F16,'flows and management'!F16,J16)</f>
        <v>14953.610458333327</v>
      </c>
      <c r="J16" s="38">
        <f t="shared" si="4"/>
        <v>14953.610458333327</v>
      </c>
      <c r="K16" s="38">
        <f t="shared" si="5"/>
        <v>2.916666666666667</v>
      </c>
      <c r="L16" s="39">
        <f>'flows and management'!B16</f>
        <v>0</v>
      </c>
      <c r="M16" s="39">
        <f>'flows and management'!C16</f>
        <v>1000</v>
      </c>
      <c r="N16" s="40">
        <f t="shared" si="6"/>
        <v>0</v>
      </c>
      <c r="O16" s="39">
        <f>climate!B16</f>
        <v>0.01</v>
      </c>
      <c r="P16" s="38">
        <f t="shared" si="7"/>
        <v>40.239791666666676</v>
      </c>
      <c r="Q16" s="41">
        <f>climate!F16/12</f>
        <v>1.1497083333333337E-2</v>
      </c>
      <c r="R16" s="39">
        <f>'flows and management'!D16</f>
        <v>0</v>
      </c>
      <c r="S16" s="42">
        <f>IF(J16&gt;'flows and management'!F16,J16-'flows and management'!F16,0)</f>
        <v>0</v>
      </c>
      <c r="T16" s="43">
        <f t="shared" si="8"/>
        <v>0</v>
      </c>
    </row>
    <row r="17" spans="1:20" x14ac:dyDescent="0.25">
      <c r="A17" s="32">
        <v>40314</v>
      </c>
      <c r="B17" s="44">
        <f t="shared" si="1"/>
        <v>5284.2149066031752</v>
      </c>
      <c r="C17" s="30">
        <f>VLOOKUP(I17,bathymetry!$G$2:$K$12,4)</f>
        <v>4</v>
      </c>
      <c r="D17" s="30">
        <f>VLOOKUP(I17,bathymetry!$G$2:$K$12,5)</f>
        <v>2000</v>
      </c>
      <c r="E17" s="30">
        <f>VLOOKUP(I17,bathymetry!$G$2:$K$12,3)</f>
        <v>3500</v>
      </c>
      <c r="F17" s="45">
        <f t="shared" si="2"/>
        <v>3885.2017328545653</v>
      </c>
      <c r="G17" s="35">
        <f t="shared" si="3"/>
        <v>71441812235578.484</v>
      </c>
      <c r="H17" s="30">
        <f>VLOOKUP(I17,bathymetry!$G$2:$K$12,2)</f>
        <v>1004</v>
      </c>
      <c r="I17" s="37">
        <f>IF(J17&gt;'flows and management'!F17,'flows and management'!F17,J17)</f>
        <v>14913.37066666666</v>
      </c>
      <c r="J17" s="38">
        <f t="shared" si="4"/>
        <v>14913.37066666666</v>
      </c>
      <c r="K17" s="38">
        <f t="shared" si="5"/>
        <v>0</v>
      </c>
      <c r="L17" s="39">
        <f>'flows and management'!B17</f>
        <v>0</v>
      </c>
      <c r="M17" s="39">
        <f>'flows and management'!C17</f>
        <v>1000</v>
      </c>
      <c r="N17" s="40">
        <f t="shared" si="6"/>
        <v>0</v>
      </c>
      <c r="O17" s="39">
        <f>climate!B17</f>
        <v>0</v>
      </c>
      <c r="P17" s="38">
        <f t="shared" si="7"/>
        <v>40.239791666666676</v>
      </c>
      <c r="Q17" s="41">
        <f>climate!F17/12</f>
        <v>1.1497083333333337E-2</v>
      </c>
      <c r="R17" s="39">
        <f>'flows and management'!D17</f>
        <v>0</v>
      </c>
      <c r="S17" s="42">
        <f>IF(J17&gt;'flows and management'!F17,J17-'flows and management'!F17,0)</f>
        <v>0</v>
      </c>
      <c r="T17" s="43">
        <f t="shared" si="8"/>
        <v>0</v>
      </c>
    </row>
    <row r="18" spans="1:20" x14ac:dyDescent="0.25">
      <c r="A18" s="32">
        <v>40315</v>
      </c>
      <c r="B18" s="44">
        <f t="shared" si="1"/>
        <v>5296.1188739586951</v>
      </c>
      <c r="C18" s="30">
        <f>VLOOKUP(I18,bathymetry!$G$2:$K$12,4)</f>
        <v>4</v>
      </c>
      <c r="D18" s="30">
        <f>VLOOKUP(I18,bathymetry!$G$2:$K$12,5)</f>
        <v>2000</v>
      </c>
      <c r="E18" s="30">
        <f>VLOOKUP(I18,bathymetry!$G$2:$K$12,3)</f>
        <v>3500</v>
      </c>
      <c r="F18" s="45">
        <f t="shared" si="2"/>
        <v>3894.9494746199366</v>
      </c>
      <c r="G18" s="35">
        <f t="shared" si="3"/>
        <v>71441812235578.484</v>
      </c>
      <c r="H18" s="30">
        <f>VLOOKUP(I18,bathymetry!$G$2:$K$12,2)</f>
        <v>1004</v>
      </c>
      <c r="I18" s="37">
        <f>IF(J18&gt;'flows and management'!F18,'flows and management'!F18,J18)</f>
        <v>14876.04754166666</v>
      </c>
      <c r="J18" s="38">
        <f t="shared" si="4"/>
        <v>14876.04754166666</v>
      </c>
      <c r="K18" s="38">
        <f t="shared" si="5"/>
        <v>2.916666666666667</v>
      </c>
      <c r="L18" s="39">
        <f>'flows and management'!B18</f>
        <v>0</v>
      </c>
      <c r="M18" s="39">
        <f>'flows and management'!C18</f>
        <v>1000</v>
      </c>
      <c r="N18" s="40">
        <f t="shared" si="6"/>
        <v>0</v>
      </c>
      <c r="O18" s="39">
        <f>climate!B18</f>
        <v>0.01</v>
      </c>
      <c r="P18" s="38">
        <f t="shared" si="7"/>
        <v>40.239791666666676</v>
      </c>
      <c r="Q18" s="41">
        <f>climate!F18/12</f>
        <v>1.1497083333333337E-2</v>
      </c>
      <c r="R18" s="39">
        <f>'flows and management'!D18</f>
        <v>0</v>
      </c>
      <c r="S18" s="42">
        <f>IF(J18&gt;'flows and management'!F18,J18-'flows and management'!F18,0)</f>
        <v>0</v>
      </c>
      <c r="T18" s="43">
        <f t="shared" si="8"/>
        <v>0</v>
      </c>
    </row>
    <row r="19" spans="1:20" x14ac:dyDescent="0.25">
      <c r="A19" s="32">
        <v>40316</v>
      </c>
      <c r="B19" s="44">
        <f t="shared" si="1"/>
        <v>5309.0167609601103</v>
      </c>
      <c r="C19" s="30">
        <f>VLOOKUP(I19,bathymetry!$G$2:$K$12,4)</f>
        <v>4</v>
      </c>
      <c r="D19" s="30">
        <f>VLOOKUP(I19,bathymetry!$G$2:$K$12,5)</f>
        <v>2000</v>
      </c>
      <c r="E19" s="30">
        <f>VLOOKUP(I19,bathymetry!$G$2:$K$12,3)</f>
        <v>3500</v>
      </c>
      <c r="F19" s="45">
        <f t="shared" si="2"/>
        <v>3905.5139115587276</v>
      </c>
      <c r="G19" s="35">
        <f t="shared" si="3"/>
        <v>71441812235578.484</v>
      </c>
      <c r="H19" s="30">
        <f>VLOOKUP(I19,bathymetry!$G$2:$K$12,2)</f>
        <v>1004</v>
      </c>
      <c r="I19" s="37">
        <f>IF(J19&gt;'flows and management'!F19,'flows and management'!F19,J19)</f>
        <v>14835.807749999993</v>
      </c>
      <c r="J19" s="38">
        <f t="shared" si="4"/>
        <v>14835.807749999993</v>
      </c>
      <c r="K19" s="38">
        <f t="shared" si="5"/>
        <v>0</v>
      </c>
      <c r="L19" s="39">
        <f>'flows and management'!B19</f>
        <v>0</v>
      </c>
      <c r="M19" s="39">
        <f>'flows and management'!C19</f>
        <v>1000</v>
      </c>
      <c r="N19" s="40">
        <f t="shared" si="6"/>
        <v>0</v>
      </c>
      <c r="O19" s="39">
        <f>climate!B19</f>
        <v>0</v>
      </c>
      <c r="P19" s="38">
        <f t="shared" si="7"/>
        <v>40.239791666666676</v>
      </c>
      <c r="Q19" s="41">
        <f>climate!F19/12</f>
        <v>1.1497083333333337E-2</v>
      </c>
      <c r="R19" s="39">
        <f>'flows and management'!D19</f>
        <v>0</v>
      </c>
      <c r="S19" s="42">
        <f>IF(J19&gt;'flows and management'!F19,J19-'flows and management'!F19,0)</f>
        <v>0</v>
      </c>
      <c r="T19" s="43">
        <f t="shared" si="8"/>
        <v>0</v>
      </c>
    </row>
    <row r="20" spans="1:20" x14ac:dyDescent="0.25">
      <c r="A20" s="32">
        <v>40317</v>
      </c>
      <c r="B20" s="44">
        <f t="shared" si="1"/>
        <v>5321.0392772187606</v>
      </c>
      <c r="C20" s="30">
        <f>VLOOKUP(I20,bathymetry!$G$2:$K$12,4)</f>
        <v>4</v>
      </c>
      <c r="D20" s="30">
        <f>VLOOKUP(I20,bathymetry!$G$2:$K$12,5)</f>
        <v>2000</v>
      </c>
      <c r="E20" s="30">
        <f>VLOOKUP(I20,bathymetry!$G$2:$K$12,3)</f>
        <v>3500</v>
      </c>
      <c r="F20" s="45">
        <f t="shared" si="2"/>
        <v>3915.363973075438</v>
      </c>
      <c r="G20" s="35">
        <f t="shared" si="3"/>
        <v>71441812235578.484</v>
      </c>
      <c r="H20" s="30">
        <f>VLOOKUP(I20,bathymetry!$G$2:$K$12,2)</f>
        <v>1004</v>
      </c>
      <c r="I20" s="37">
        <f>IF(J20&gt;'flows and management'!F20,'flows and management'!F20,J20)</f>
        <v>14798.484624999992</v>
      </c>
      <c r="J20" s="38">
        <f t="shared" si="4"/>
        <v>14798.484624999992</v>
      </c>
      <c r="K20" s="38">
        <f t="shared" si="5"/>
        <v>2.916666666666667</v>
      </c>
      <c r="L20" s="39">
        <f>'flows and management'!B20</f>
        <v>0</v>
      </c>
      <c r="M20" s="39">
        <f>'flows and management'!C20</f>
        <v>1000</v>
      </c>
      <c r="N20" s="40">
        <f t="shared" si="6"/>
        <v>0</v>
      </c>
      <c r="O20" s="39">
        <f>climate!B20</f>
        <v>0.01</v>
      </c>
      <c r="P20" s="38">
        <f t="shared" si="7"/>
        <v>40.239791666666676</v>
      </c>
      <c r="Q20" s="41">
        <f>climate!F20/12</f>
        <v>1.1497083333333337E-2</v>
      </c>
      <c r="R20" s="39">
        <f>'flows and management'!D20</f>
        <v>0</v>
      </c>
      <c r="S20" s="42">
        <f>IF(J20&gt;'flows and management'!F20,J20-'flows and management'!F20,0)</f>
        <v>0</v>
      </c>
      <c r="T20" s="43">
        <f t="shared" si="8"/>
        <v>0</v>
      </c>
    </row>
    <row r="21" spans="1:20" x14ac:dyDescent="0.25">
      <c r="A21" s="32">
        <v>40318</v>
      </c>
      <c r="B21" s="44">
        <f t="shared" si="1"/>
        <v>5334.0659492399964</v>
      </c>
      <c r="C21" s="30">
        <f>VLOOKUP(I21,bathymetry!$G$2:$K$12,4)</f>
        <v>4</v>
      </c>
      <c r="D21" s="30">
        <f>VLOOKUP(I21,bathymetry!$G$2:$K$12,5)</f>
        <v>2000</v>
      </c>
      <c r="E21" s="30">
        <f>VLOOKUP(I21,bathymetry!$G$2:$K$12,3)</f>
        <v>3500</v>
      </c>
      <c r="F21" s="45">
        <f t="shared" si="2"/>
        <v>3926.0395942183995</v>
      </c>
      <c r="G21" s="35">
        <f t="shared" si="3"/>
        <v>71441812235578.484</v>
      </c>
      <c r="H21" s="30">
        <f>VLOOKUP(I21,bathymetry!$G$2:$K$12,2)</f>
        <v>1004</v>
      </c>
      <c r="I21" s="37">
        <f>IF(J21&gt;'flows and management'!F21,'flows and management'!F21,J21)</f>
        <v>14758.244833333325</v>
      </c>
      <c r="J21" s="38">
        <f t="shared" si="4"/>
        <v>14758.244833333325</v>
      </c>
      <c r="K21" s="38">
        <f t="shared" si="5"/>
        <v>0</v>
      </c>
      <c r="L21" s="39">
        <f>'flows and management'!B21</f>
        <v>0</v>
      </c>
      <c r="M21" s="39">
        <f>'flows and management'!C21</f>
        <v>1000</v>
      </c>
      <c r="N21" s="40">
        <f t="shared" si="6"/>
        <v>0</v>
      </c>
      <c r="O21" s="39">
        <f>climate!B21</f>
        <v>0</v>
      </c>
      <c r="P21" s="38">
        <f t="shared" si="7"/>
        <v>40.239791666666676</v>
      </c>
      <c r="Q21" s="41">
        <f>climate!F21/12</f>
        <v>1.1497083333333337E-2</v>
      </c>
      <c r="R21" s="39">
        <f>'flows and management'!D21</f>
        <v>0</v>
      </c>
      <c r="S21" s="42">
        <f>IF(J21&gt;'flows and management'!F21,J21-'flows and management'!F21,0)</f>
        <v>0</v>
      </c>
      <c r="T21" s="43">
        <f t="shared" si="8"/>
        <v>0</v>
      </c>
    </row>
    <row r="22" spans="1:20" x14ac:dyDescent="0.25">
      <c r="A22" s="32">
        <v>40319</v>
      </c>
      <c r="B22" s="44">
        <f t="shared" si="1"/>
        <v>5346.2088265327866</v>
      </c>
      <c r="C22" s="30">
        <f>VLOOKUP(I22,bathymetry!$G$2:$K$12,4)</f>
        <v>4</v>
      </c>
      <c r="D22" s="30">
        <f>VLOOKUP(I22,bathymetry!$G$2:$K$12,5)</f>
        <v>2000</v>
      </c>
      <c r="E22" s="30">
        <f>VLOOKUP(I22,bathymetry!$G$2:$K$12,3)</f>
        <v>3500</v>
      </c>
      <c r="F22" s="45">
        <f t="shared" si="2"/>
        <v>3935.9935950230506</v>
      </c>
      <c r="G22" s="35">
        <f t="shared" si="3"/>
        <v>71441812235578.484</v>
      </c>
      <c r="H22" s="30">
        <f>VLOOKUP(I22,bathymetry!$G$2:$K$12,2)</f>
        <v>1004</v>
      </c>
      <c r="I22" s="37">
        <f>IF(J22&gt;'flows and management'!F22,'flows and management'!F22,J22)</f>
        <v>14720.921708333324</v>
      </c>
      <c r="J22" s="38">
        <f t="shared" si="4"/>
        <v>14720.921708333324</v>
      </c>
      <c r="K22" s="38">
        <f t="shared" si="5"/>
        <v>2.916666666666667</v>
      </c>
      <c r="L22" s="39">
        <f>'flows and management'!B22</f>
        <v>0</v>
      </c>
      <c r="M22" s="39">
        <f>'flows and management'!C22</f>
        <v>1000</v>
      </c>
      <c r="N22" s="40">
        <f t="shared" si="6"/>
        <v>0</v>
      </c>
      <c r="O22" s="39">
        <f>climate!B22</f>
        <v>0.01</v>
      </c>
      <c r="P22" s="38">
        <f t="shared" si="7"/>
        <v>40.239791666666676</v>
      </c>
      <c r="Q22" s="41">
        <f>climate!F22/12</f>
        <v>1.1497083333333337E-2</v>
      </c>
      <c r="R22" s="39">
        <f>'flows and management'!D22</f>
        <v>0</v>
      </c>
      <c r="S22" s="42">
        <f>IF(J22&gt;'flows and management'!F22,J22-'flows and management'!F22,0)</f>
        <v>0</v>
      </c>
      <c r="T22" s="43">
        <f t="shared" si="8"/>
        <v>0</v>
      </c>
    </row>
    <row r="23" spans="1:20" x14ac:dyDescent="0.25">
      <c r="A23" s="32">
        <v>40320</v>
      </c>
      <c r="B23" s="44">
        <f t="shared" si="1"/>
        <v>5359.3662573796419</v>
      </c>
      <c r="C23" s="30">
        <f>VLOOKUP(I23,bathymetry!$G$2:$K$12,4)</f>
        <v>4</v>
      </c>
      <c r="D23" s="30">
        <f>VLOOKUP(I23,bathymetry!$G$2:$K$12,5)</f>
        <v>2000</v>
      </c>
      <c r="E23" s="30">
        <f>VLOOKUP(I23,bathymetry!$G$2:$K$12,3)</f>
        <v>3500</v>
      </c>
      <c r="F23" s="45">
        <f t="shared" si="2"/>
        <v>3946.7821648704271</v>
      </c>
      <c r="G23" s="35">
        <f t="shared" si="3"/>
        <v>71441812235578.484</v>
      </c>
      <c r="H23" s="30">
        <f>VLOOKUP(I23,bathymetry!$G$2:$K$12,2)</f>
        <v>1004</v>
      </c>
      <c r="I23" s="37">
        <f>IF(J23&gt;'flows and management'!F23,'flows and management'!F23,J23)</f>
        <v>14680.681916666657</v>
      </c>
      <c r="J23" s="38">
        <f t="shared" si="4"/>
        <v>14680.681916666657</v>
      </c>
      <c r="K23" s="38">
        <f t="shared" si="5"/>
        <v>0</v>
      </c>
      <c r="L23" s="39">
        <f>'flows and management'!B23</f>
        <v>0</v>
      </c>
      <c r="M23" s="39">
        <f>'flows and management'!C23</f>
        <v>1000</v>
      </c>
      <c r="N23" s="40">
        <f t="shared" si="6"/>
        <v>0</v>
      </c>
      <c r="O23" s="39">
        <f>climate!B23</f>
        <v>0</v>
      </c>
      <c r="P23" s="38">
        <f t="shared" si="7"/>
        <v>40.239791666666676</v>
      </c>
      <c r="Q23" s="41">
        <f>climate!F23/12</f>
        <v>1.1497083333333337E-2</v>
      </c>
      <c r="R23" s="39">
        <f>'flows and management'!D23</f>
        <v>0</v>
      </c>
      <c r="S23" s="42">
        <f>IF(J23&gt;'flows and management'!F23,J23-'flows and management'!F23,0)</f>
        <v>0</v>
      </c>
      <c r="T23" s="43">
        <f t="shared" si="8"/>
        <v>0</v>
      </c>
    </row>
    <row r="24" spans="1:20" x14ac:dyDescent="0.25">
      <c r="A24" s="32">
        <v>40321</v>
      </c>
      <c r="B24" s="44">
        <f t="shared" si="1"/>
        <v>5371.6313452935574</v>
      </c>
      <c r="C24" s="30">
        <f>VLOOKUP(I24,bathymetry!$G$2:$K$12,4)</f>
        <v>4</v>
      </c>
      <c r="D24" s="30">
        <f>VLOOKUP(I24,bathymetry!$G$2:$K$12,5)</f>
        <v>2000</v>
      </c>
      <c r="E24" s="30">
        <f>VLOOKUP(I24,bathymetry!$G$2:$K$12,3)</f>
        <v>3500</v>
      </c>
      <c r="F24" s="45">
        <f t="shared" si="2"/>
        <v>3956.84175885996</v>
      </c>
      <c r="G24" s="35">
        <f t="shared" si="3"/>
        <v>71441812235578.484</v>
      </c>
      <c r="H24" s="30">
        <f>VLOOKUP(I24,bathymetry!$G$2:$K$12,2)</f>
        <v>1004</v>
      </c>
      <c r="I24" s="37">
        <f>IF(J24&gt;'flows and management'!F24,'flows and management'!F24,J24)</f>
        <v>14643.358791666657</v>
      </c>
      <c r="J24" s="38">
        <f t="shared" si="4"/>
        <v>14643.358791666657</v>
      </c>
      <c r="K24" s="38">
        <f t="shared" si="5"/>
        <v>2.916666666666667</v>
      </c>
      <c r="L24" s="39">
        <f>'flows and management'!B24</f>
        <v>0</v>
      </c>
      <c r="M24" s="39">
        <f>'flows and management'!C24</f>
        <v>1000</v>
      </c>
      <c r="N24" s="40">
        <f t="shared" si="6"/>
        <v>0</v>
      </c>
      <c r="O24" s="39">
        <f>climate!B24</f>
        <v>0.01</v>
      </c>
      <c r="P24" s="38">
        <f t="shared" si="7"/>
        <v>40.239791666666676</v>
      </c>
      <c r="Q24" s="41">
        <f>climate!F24/12</f>
        <v>1.1497083333333337E-2</v>
      </c>
      <c r="R24" s="39">
        <f>'flows and management'!D24</f>
        <v>0</v>
      </c>
      <c r="S24" s="42">
        <f>IF(J24&gt;'flows and management'!F24,J24-'flows and management'!F24,0)</f>
        <v>0</v>
      </c>
      <c r="T24" s="43">
        <f t="shared" si="8"/>
        <v>0</v>
      </c>
    </row>
    <row r="25" spans="1:20" x14ac:dyDescent="0.25">
      <c r="A25" s="32">
        <v>40322</v>
      </c>
      <c r="B25" s="44">
        <f t="shared" si="1"/>
        <v>5384.9215496780971</v>
      </c>
      <c r="C25" s="30">
        <f>VLOOKUP(I25,bathymetry!$G$2:$K$12,4)</f>
        <v>4</v>
      </c>
      <c r="D25" s="30">
        <f>VLOOKUP(I25,bathymetry!$G$2:$K$12,5)</f>
        <v>2000</v>
      </c>
      <c r="E25" s="30">
        <f>VLOOKUP(I25,bathymetry!$G$2:$K$12,3)</f>
        <v>3500</v>
      </c>
      <c r="F25" s="45">
        <f t="shared" si="2"/>
        <v>3967.7450794474653</v>
      </c>
      <c r="G25" s="35">
        <f t="shared" si="3"/>
        <v>71441812235578.484</v>
      </c>
      <c r="H25" s="30">
        <f>VLOOKUP(I25,bathymetry!$G$2:$K$12,2)</f>
        <v>1004</v>
      </c>
      <c r="I25" s="37">
        <f>IF(J25&gt;'flows and management'!F25,'flows and management'!F25,J25)</f>
        <v>14603.11899999999</v>
      </c>
      <c r="J25" s="38">
        <f t="shared" si="4"/>
        <v>14603.11899999999</v>
      </c>
      <c r="K25" s="38">
        <f t="shared" si="5"/>
        <v>0</v>
      </c>
      <c r="L25" s="39">
        <f>'flows and management'!B25</f>
        <v>0</v>
      </c>
      <c r="M25" s="39">
        <f>'flows and management'!C25</f>
        <v>1000</v>
      </c>
      <c r="N25" s="40">
        <f t="shared" si="6"/>
        <v>0</v>
      </c>
      <c r="O25" s="39">
        <f>climate!B25</f>
        <v>0</v>
      </c>
      <c r="P25" s="38">
        <f t="shared" si="7"/>
        <v>40.239791666666676</v>
      </c>
      <c r="Q25" s="41">
        <f>climate!F25/12</f>
        <v>1.1497083333333337E-2</v>
      </c>
      <c r="R25" s="39">
        <f>'flows and management'!D25</f>
        <v>0</v>
      </c>
      <c r="S25" s="42">
        <f>IF(J25&gt;'flows and management'!F25,J25-'flows and management'!F25,0)</f>
        <v>0</v>
      </c>
      <c r="T25" s="43">
        <f t="shared" si="8"/>
        <v>0</v>
      </c>
    </row>
    <row r="26" spans="1:20" x14ac:dyDescent="0.25">
      <c r="A26" s="32">
        <v>40323</v>
      </c>
      <c r="B26" s="44">
        <f t="shared" si="1"/>
        <v>5397.3107362340925</v>
      </c>
      <c r="C26" s="30">
        <f>VLOOKUP(I26,bathymetry!$G$2:$K$12,4)</f>
        <v>4</v>
      </c>
      <c r="D26" s="30">
        <f>VLOOKUP(I26,bathymetry!$G$2:$K$12,5)</f>
        <v>2000</v>
      </c>
      <c r="E26" s="30">
        <f>VLOOKUP(I26,bathymetry!$G$2:$K$12,3)</f>
        <v>3500</v>
      </c>
      <c r="F26" s="45">
        <f t="shared" si="2"/>
        <v>3977.9119557952608</v>
      </c>
      <c r="G26" s="35">
        <f t="shared" si="3"/>
        <v>71441812235578.484</v>
      </c>
      <c r="H26" s="30">
        <f>VLOOKUP(I26,bathymetry!$G$2:$K$12,2)</f>
        <v>1004</v>
      </c>
      <c r="I26" s="37">
        <f>IF(J26&gt;'flows and management'!F26,'flows and management'!F26,J26)</f>
        <v>14565.795874999989</v>
      </c>
      <c r="J26" s="38">
        <f t="shared" si="4"/>
        <v>14565.795874999989</v>
      </c>
      <c r="K26" s="38">
        <f t="shared" si="5"/>
        <v>2.916666666666667</v>
      </c>
      <c r="L26" s="39">
        <f>'flows and management'!B26</f>
        <v>0</v>
      </c>
      <c r="M26" s="39">
        <f>'flows and management'!C26</f>
        <v>1000</v>
      </c>
      <c r="N26" s="40">
        <f t="shared" si="6"/>
        <v>0</v>
      </c>
      <c r="O26" s="39">
        <f>climate!B26</f>
        <v>0.01</v>
      </c>
      <c r="P26" s="38">
        <f t="shared" si="7"/>
        <v>40.239791666666676</v>
      </c>
      <c r="Q26" s="41">
        <f>climate!F26/12</f>
        <v>1.1497083333333337E-2</v>
      </c>
      <c r="R26" s="39">
        <f>'flows and management'!D26</f>
        <v>0</v>
      </c>
      <c r="S26" s="42">
        <f>IF(J26&gt;'flows and management'!F26,J26-'flows and management'!F26,0)</f>
        <v>0</v>
      </c>
      <c r="T26" s="43">
        <f t="shared" si="8"/>
        <v>0</v>
      </c>
    </row>
    <row r="27" spans="1:20" x14ac:dyDescent="0.25">
      <c r="A27" s="32">
        <v>40324</v>
      </c>
      <c r="B27" s="44">
        <f t="shared" si="1"/>
        <v>5410.7357708455047</v>
      </c>
      <c r="C27" s="30">
        <f>VLOOKUP(I27,bathymetry!$G$2:$K$12,4)</f>
        <v>4</v>
      </c>
      <c r="D27" s="30">
        <f>VLOOKUP(I27,bathymetry!$G$2:$K$12,5)</f>
        <v>2000</v>
      </c>
      <c r="E27" s="30">
        <f>VLOOKUP(I27,bathymetry!$G$2:$K$12,3)</f>
        <v>3500</v>
      </c>
      <c r="F27" s="45">
        <f t="shared" si="2"/>
        <v>3988.9318676975122</v>
      </c>
      <c r="G27" s="35">
        <f t="shared" si="3"/>
        <v>71441812235578.484</v>
      </c>
      <c r="H27" s="30">
        <f>VLOOKUP(I27,bathymetry!$G$2:$K$12,2)</f>
        <v>1004</v>
      </c>
      <c r="I27" s="37">
        <f>IF(J27&gt;'flows and management'!F27,'flows and management'!F27,J27)</f>
        <v>14525.556083333322</v>
      </c>
      <c r="J27" s="38">
        <f t="shared" si="4"/>
        <v>14525.556083333322</v>
      </c>
      <c r="K27" s="38">
        <f t="shared" si="5"/>
        <v>0</v>
      </c>
      <c r="L27" s="39">
        <f>'flows and management'!B27</f>
        <v>0</v>
      </c>
      <c r="M27" s="39">
        <f>'flows and management'!C27</f>
        <v>1000</v>
      </c>
      <c r="N27" s="40">
        <f t="shared" si="6"/>
        <v>0</v>
      </c>
      <c r="O27" s="39">
        <f>climate!B27</f>
        <v>0</v>
      </c>
      <c r="P27" s="38">
        <f t="shared" si="7"/>
        <v>40.239791666666676</v>
      </c>
      <c r="Q27" s="41">
        <f>climate!F27/12</f>
        <v>1.1497083333333337E-2</v>
      </c>
      <c r="R27" s="39">
        <f>'flows and management'!D27</f>
        <v>0</v>
      </c>
      <c r="S27" s="42">
        <f>IF(J27&gt;'flows and management'!F27,J27-'flows and management'!F27,0)</f>
        <v>0</v>
      </c>
      <c r="T27" s="43">
        <f t="shared" si="8"/>
        <v>0</v>
      </c>
    </row>
    <row r="28" spans="1:20" x14ac:dyDescent="0.25">
      <c r="A28" s="32">
        <v>40325</v>
      </c>
      <c r="B28" s="44">
        <f t="shared" si="1"/>
        <v>5423.2509835074579</v>
      </c>
      <c r="C28" s="30">
        <f>VLOOKUP(I28,bathymetry!$G$2:$K$12,4)</f>
        <v>4</v>
      </c>
      <c r="D28" s="30">
        <f>VLOOKUP(I28,bathymetry!$G$2:$K$12,5)</f>
        <v>2000</v>
      </c>
      <c r="E28" s="30">
        <f>VLOOKUP(I28,bathymetry!$G$2:$K$12,3)</f>
        <v>3500</v>
      </c>
      <c r="F28" s="45">
        <f t="shared" si="2"/>
        <v>3999.2077517989569</v>
      </c>
      <c r="G28" s="35">
        <f t="shared" si="3"/>
        <v>71441812235578.484</v>
      </c>
      <c r="H28" s="30">
        <f>VLOOKUP(I28,bathymetry!$G$2:$K$12,2)</f>
        <v>1004</v>
      </c>
      <c r="I28" s="37">
        <f>IF(J28&gt;'flows and management'!F28,'flows and management'!F28,J28)</f>
        <v>14488.232958333321</v>
      </c>
      <c r="J28" s="38">
        <f t="shared" si="4"/>
        <v>14488.232958333321</v>
      </c>
      <c r="K28" s="38">
        <f t="shared" si="5"/>
        <v>2.916666666666667</v>
      </c>
      <c r="L28" s="39">
        <f>'flows and management'!B28</f>
        <v>0</v>
      </c>
      <c r="M28" s="39">
        <f>'flows and management'!C28</f>
        <v>1000</v>
      </c>
      <c r="N28" s="40">
        <f t="shared" si="6"/>
        <v>0</v>
      </c>
      <c r="O28" s="39">
        <f>climate!B28</f>
        <v>0.01</v>
      </c>
      <c r="P28" s="38">
        <f t="shared" si="7"/>
        <v>40.239791666666676</v>
      </c>
      <c r="Q28" s="41">
        <f>climate!F28/12</f>
        <v>1.1497083333333337E-2</v>
      </c>
      <c r="R28" s="39">
        <f>'flows and management'!D28</f>
        <v>0</v>
      </c>
      <c r="S28" s="42">
        <f>IF(J28&gt;'flows and management'!F28,J28-'flows and management'!F28,0)</f>
        <v>0</v>
      </c>
      <c r="T28" s="43">
        <f t="shared" si="8"/>
        <v>0</v>
      </c>
    </row>
    <row r="29" spans="1:20" x14ac:dyDescent="0.25">
      <c r="A29" s="32">
        <v>40326</v>
      </c>
      <c r="B29" s="44">
        <f t="shared" si="1"/>
        <v>5436.8129481169553</v>
      </c>
      <c r="C29" s="30">
        <f>VLOOKUP(I29,bathymetry!$G$2:$K$12,4)</f>
        <v>4</v>
      </c>
      <c r="D29" s="30">
        <f>VLOOKUP(I29,bathymetry!$G$2:$K$12,5)</f>
        <v>2000</v>
      </c>
      <c r="E29" s="30">
        <f>VLOOKUP(I29,bathymetry!$G$2:$K$12,3)</f>
        <v>3500</v>
      </c>
      <c r="F29" s="45">
        <f t="shared" si="2"/>
        <v>4010.3461351652631</v>
      </c>
      <c r="G29" s="35">
        <f t="shared" si="3"/>
        <v>71441812235578.484</v>
      </c>
      <c r="H29" s="30">
        <f>VLOOKUP(I29,bathymetry!$G$2:$K$12,2)</f>
        <v>1004</v>
      </c>
      <c r="I29" s="37">
        <f>IF(J29&gt;'flows and management'!F29,'flows and management'!F29,J29)</f>
        <v>14447.993166666654</v>
      </c>
      <c r="J29" s="38">
        <f t="shared" si="4"/>
        <v>14447.993166666654</v>
      </c>
      <c r="K29" s="38">
        <f t="shared" si="5"/>
        <v>0</v>
      </c>
      <c r="L29" s="39">
        <f>'flows and management'!B29</f>
        <v>0</v>
      </c>
      <c r="M29" s="39">
        <f>'flows and management'!C29</f>
        <v>1000</v>
      </c>
      <c r="N29" s="40">
        <f t="shared" si="6"/>
        <v>0</v>
      </c>
      <c r="O29" s="39">
        <f>climate!B29</f>
        <v>0</v>
      </c>
      <c r="P29" s="38">
        <f t="shared" si="7"/>
        <v>40.239791666666676</v>
      </c>
      <c r="Q29" s="41">
        <f>climate!F29/12</f>
        <v>1.1497083333333337E-2</v>
      </c>
      <c r="R29" s="39">
        <f>'flows and management'!D29</f>
        <v>0</v>
      </c>
      <c r="S29" s="42">
        <f>IF(J29&gt;'flows and management'!F29,J29-'flows and management'!F29,0)</f>
        <v>0</v>
      </c>
      <c r="T29" s="43">
        <f t="shared" si="8"/>
        <v>0</v>
      </c>
    </row>
    <row r="30" spans="1:20" x14ac:dyDescent="0.25">
      <c r="A30" s="32">
        <v>40327</v>
      </c>
      <c r="B30" s="44">
        <f t="shared" si="1"/>
        <v>5449.4561548325919</v>
      </c>
      <c r="C30" s="30">
        <f>VLOOKUP(I30,bathymetry!$G$2:$K$12,4)</f>
        <v>4</v>
      </c>
      <c r="D30" s="30">
        <f>VLOOKUP(I30,bathymetry!$G$2:$K$12,5)</f>
        <v>2000</v>
      </c>
      <c r="E30" s="30">
        <f>VLOOKUP(I30,bathymetry!$G$2:$K$12,3)</f>
        <v>3500</v>
      </c>
      <c r="F30" s="45">
        <f t="shared" si="2"/>
        <v>4020.7327896138954</v>
      </c>
      <c r="G30" s="35">
        <f t="shared" si="3"/>
        <v>71441812235578.484</v>
      </c>
      <c r="H30" s="30">
        <f>VLOOKUP(I30,bathymetry!$G$2:$K$12,2)</f>
        <v>1004</v>
      </c>
      <c r="I30" s="37">
        <f>IF(J30&gt;'flows and management'!F30,'flows and management'!F30,J30)</f>
        <v>14410.670041666654</v>
      </c>
      <c r="J30" s="38">
        <f t="shared" si="4"/>
        <v>14410.670041666654</v>
      </c>
      <c r="K30" s="38">
        <f t="shared" si="5"/>
        <v>2.916666666666667</v>
      </c>
      <c r="L30" s="39">
        <f>'flows and management'!B30</f>
        <v>0</v>
      </c>
      <c r="M30" s="39">
        <f>'flows and management'!C30</f>
        <v>1000</v>
      </c>
      <c r="N30" s="40">
        <f t="shared" si="6"/>
        <v>0</v>
      </c>
      <c r="O30" s="39">
        <f>climate!B30</f>
        <v>0.01</v>
      </c>
      <c r="P30" s="38">
        <f t="shared" si="7"/>
        <v>40.239791666666676</v>
      </c>
      <c r="Q30" s="41">
        <f>climate!F30/12</f>
        <v>1.1497083333333337E-2</v>
      </c>
      <c r="R30" s="39">
        <f>'flows and management'!D30</f>
        <v>0</v>
      </c>
      <c r="S30" s="42">
        <f>IF(J30&gt;'flows and management'!F30,J30-'flows and management'!F30,0)</f>
        <v>0</v>
      </c>
      <c r="T30" s="43">
        <f t="shared" si="8"/>
        <v>0</v>
      </c>
    </row>
    <row r="31" spans="1:20" x14ac:dyDescent="0.25">
      <c r="A31" s="32">
        <v>40328</v>
      </c>
      <c r="B31" s="44">
        <f t="shared" si="1"/>
        <v>5463.1571934335298</v>
      </c>
      <c r="C31" s="30">
        <f>VLOOKUP(I31,bathymetry!$G$2:$K$12,4)</f>
        <v>4</v>
      </c>
      <c r="D31" s="30">
        <f>VLOOKUP(I31,bathymetry!$G$2:$K$12,5)</f>
        <v>2000</v>
      </c>
      <c r="E31" s="30">
        <f>VLOOKUP(I31,bathymetry!$G$2:$K$12,3)</f>
        <v>3500</v>
      </c>
      <c r="F31" s="45">
        <f t="shared" si="2"/>
        <v>4031.9915652376385</v>
      </c>
      <c r="G31" s="35">
        <f t="shared" si="3"/>
        <v>71441812235578.484</v>
      </c>
      <c r="H31" s="30">
        <f>VLOOKUP(I31,bathymetry!$G$2:$K$12,2)</f>
        <v>1004</v>
      </c>
      <c r="I31" s="37">
        <f>IF(J31&gt;'flows and management'!F31,'flows and management'!F31,J31)</f>
        <v>14370.430249999987</v>
      </c>
      <c r="J31" s="38">
        <f t="shared" si="4"/>
        <v>14370.430249999987</v>
      </c>
      <c r="K31" s="38">
        <f t="shared" si="5"/>
        <v>0</v>
      </c>
      <c r="L31" s="39">
        <f>'flows and management'!B31</f>
        <v>0</v>
      </c>
      <c r="M31" s="39">
        <f>'flows and management'!C31</f>
        <v>1000</v>
      </c>
      <c r="N31" s="40">
        <f t="shared" si="6"/>
        <v>0</v>
      </c>
      <c r="O31" s="39">
        <f>climate!B31</f>
        <v>0</v>
      </c>
      <c r="P31" s="38">
        <f t="shared" si="7"/>
        <v>40.239791666666676</v>
      </c>
      <c r="Q31" s="41">
        <f>climate!F31/12</f>
        <v>1.1497083333333337E-2</v>
      </c>
      <c r="R31" s="39">
        <f>'flows and management'!D31</f>
        <v>0</v>
      </c>
      <c r="S31" s="42">
        <f>IF(J31&gt;'flows and management'!F31,J31-'flows and management'!F31,0)</f>
        <v>0</v>
      </c>
      <c r="T31" s="43">
        <f t="shared" si="8"/>
        <v>0</v>
      </c>
    </row>
    <row r="32" spans="1:20" x14ac:dyDescent="0.25">
      <c r="A32" s="32">
        <v>40329</v>
      </c>
      <c r="B32" s="44">
        <f t="shared" si="1"/>
        <v>5475.9304037087195</v>
      </c>
      <c r="C32" s="30">
        <f>VLOOKUP(I32,bathymetry!$G$2:$K$12,4)</f>
        <v>4</v>
      </c>
      <c r="D32" s="30">
        <f>VLOOKUP(I32,bathymetry!$G$2:$K$12,5)</f>
        <v>2000</v>
      </c>
      <c r="E32" s="30">
        <f>VLOOKUP(I32,bathymetry!$G$2:$K$12,3)</f>
        <v>3500</v>
      </c>
      <c r="F32" s="45">
        <f t="shared" si="2"/>
        <v>4042.4907908330315</v>
      </c>
      <c r="G32" s="35">
        <f t="shared" si="3"/>
        <v>71441812235578.484</v>
      </c>
      <c r="H32" s="30">
        <f>VLOOKUP(I32,bathymetry!$G$2:$K$12,2)</f>
        <v>1004</v>
      </c>
      <c r="I32" s="37">
        <f>IF(J32&gt;'flows and management'!F32,'flows and management'!F32,J32)</f>
        <v>14333.107124999986</v>
      </c>
      <c r="J32" s="38">
        <f t="shared" si="4"/>
        <v>14333.107124999986</v>
      </c>
      <c r="K32" s="38">
        <f t="shared" si="5"/>
        <v>2.916666666666667</v>
      </c>
      <c r="L32" s="39">
        <f>'flows and management'!B32</f>
        <v>0</v>
      </c>
      <c r="M32" s="39">
        <f>'flows and management'!C32</f>
        <v>1000</v>
      </c>
      <c r="N32" s="40">
        <f t="shared" si="6"/>
        <v>0</v>
      </c>
      <c r="O32" s="39">
        <f>climate!B32</f>
        <v>0.01</v>
      </c>
      <c r="P32" s="38">
        <f t="shared" si="7"/>
        <v>40.239791666666676</v>
      </c>
      <c r="Q32" s="41">
        <f>climate!F32/12</f>
        <v>1.1497083333333337E-2</v>
      </c>
      <c r="R32" s="39">
        <f>'flows and management'!D32</f>
        <v>0</v>
      </c>
      <c r="S32" s="42">
        <f>IF(J32&gt;'flows and management'!F32,J32-'flows and management'!F32,0)</f>
        <v>0</v>
      </c>
      <c r="T32" s="43">
        <f t="shared" si="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3</vt:i4>
      </vt:variant>
    </vt:vector>
  </HeadingPairs>
  <TitlesOfParts>
    <vt:vector size="11" baseType="lpstr">
      <vt:lpstr>README</vt:lpstr>
      <vt:lpstr>model variables</vt:lpstr>
      <vt:lpstr>input variables</vt:lpstr>
      <vt:lpstr>bathymetry</vt:lpstr>
      <vt:lpstr>climate</vt:lpstr>
      <vt:lpstr>flows and management</vt:lpstr>
      <vt:lpstr>starting values</vt:lpstr>
      <vt:lpstr>model</vt:lpstr>
      <vt:lpstr>graph 1</vt:lpstr>
      <vt:lpstr>graph 2</vt:lpstr>
      <vt:lpstr>graph 3</vt:lpstr>
    </vt:vector>
  </TitlesOfParts>
  <Company>USGS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btangen</dc:creator>
  <cp:lastModifiedBy>Hill, Lynn M</cp:lastModifiedBy>
  <dcterms:created xsi:type="dcterms:W3CDTF">2010-06-29T18:55:39Z</dcterms:created>
  <dcterms:modified xsi:type="dcterms:W3CDTF">2013-04-19T18:23:22Z</dcterms:modified>
</cp:coreProperties>
</file>